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et2000-my.sharepoint.com/personal/alberto_piani_aet2000_it/Documents/CONTROLLO/2025/Dati mensili WEBTOOLS/"/>
    </mc:Choice>
  </mc:AlternateContent>
  <xr:revisionPtr revIDLastSave="10" documentId="8_{9CA6C5FE-A032-45FA-9864-3DC02A7540C9}" xr6:coauthVersionLast="47" xr6:coauthVersionMax="47" xr10:uidLastSave="{23C3C1DB-68E5-4EB6-AA88-7B38E3D2D41E}"/>
  <bookViews>
    <workbookView xWindow="28680" yWindow="-120" windowWidth="29040" windowHeight="15720" xr2:uid="{00000000-000D-0000-FFFF-FFFF00000000}"/>
  </bookViews>
  <sheets>
    <sheet name="AMARO" sheetId="1" r:id="rId1"/>
    <sheet name="AMPEZZO" sheetId="2" r:id="rId2"/>
    <sheet name="ARTA TERME" sheetId="3" r:id="rId3"/>
    <sheet name="ARTEGNA" sheetId="4" r:id="rId4"/>
    <sheet name="BASILIANO" sheetId="5" r:id="rId5"/>
    <sheet name="BERTIOLO" sheetId="6" r:id="rId6"/>
    <sheet name="BORDANO" sheetId="7" r:id="rId7"/>
    <sheet name="BUTTRIO" sheetId="8" r:id="rId8"/>
    <sheet name="CAMINO AL TAGLIAMENTO" sheetId="9" r:id="rId9"/>
    <sheet name="CAMPOFORMIDO" sheetId="10" r:id="rId10"/>
    <sheet name="CAVAZZO CARNICO" sheetId="11" r:id="rId11"/>
    <sheet name="CERCIVENTO" sheetId="12" r:id="rId12"/>
    <sheet name="CODROIPO" sheetId="13" r:id="rId13"/>
    <sheet name="COLLOREDO DI MONTE ALBANO" sheetId="14" r:id="rId14"/>
    <sheet name="COMEGLIANS" sheetId="15" r:id="rId15"/>
    <sheet name="CORNO DI ROSAZZO" sheetId="16" r:id="rId16"/>
    <sheet name="COSEANO" sheetId="17" r:id="rId17"/>
    <sheet name="DIGNANO" sheetId="18" r:id="rId18"/>
    <sheet name="DOGNA" sheetId="19" r:id="rId19"/>
    <sheet name="ENEMONZO" sheetId="20" r:id="rId20"/>
    <sheet name="FAGAGNA" sheetId="21" r:id="rId21"/>
    <sheet name="FLAIBANO" sheetId="22" r:id="rId22"/>
    <sheet name="FORGARIA NEL FRIULI" sheetId="23" r:id="rId23"/>
    <sheet name="FORNI AVOLTRI" sheetId="24" r:id="rId24"/>
    <sheet name="FORNI DI SOPRA" sheetId="25" r:id="rId25"/>
    <sheet name="FORNI DI SOTTO" sheetId="26" r:id="rId26"/>
    <sheet name="GEMONA DEL FRIULI" sheetId="27" r:id="rId27"/>
    <sheet name="LAUCO" sheetId="28" r:id="rId28"/>
    <sheet name="LESTIZZA" sheetId="29" r:id="rId29"/>
    <sheet name="LUSEVERA" sheetId="30" r:id="rId30"/>
    <sheet name="MAGNANO IN RIVIERA" sheetId="31" r:id="rId31"/>
    <sheet name="MAJANO" sheetId="32" r:id="rId32"/>
    <sheet name="MARTIGNACCO" sheetId="33" r:id="rId33"/>
    <sheet name="MOGGIO UDINESE" sheetId="34" r:id="rId34"/>
    <sheet name="MOIMACCO" sheetId="35" r:id="rId35"/>
    <sheet name="MONTENARS" sheetId="36" r:id="rId36"/>
    <sheet name="MORTEGLIANO" sheetId="37" r:id="rId37"/>
    <sheet name="MORUZZO" sheetId="38" r:id="rId38"/>
    <sheet name="NIMIS" sheetId="39" r:id="rId39"/>
    <sheet name="OSOPPO" sheetId="40" r:id="rId40"/>
    <sheet name="OVARO" sheetId="41" r:id="rId41"/>
    <sheet name="PAGNACCO" sheetId="42" r:id="rId42"/>
    <sheet name="PALUZZA" sheetId="43" r:id="rId43"/>
    <sheet name="PASIAN DI PRATO" sheetId="44" r:id="rId44"/>
    <sheet name="PAULARO" sheetId="45" r:id="rId45"/>
    <sheet name="PAVIA DI UDINE" sheetId="46" r:id="rId46"/>
    <sheet name="POZZUOLO DEL FRIULI" sheetId="47" r:id="rId47"/>
    <sheet name="PRADAMANO" sheetId="48" r:id="rId48"/>
    <sheet name="PRATO CARNICO" sheetId="49" r:id="rId49"/>
    <sheet name="PREMARIACCO" sheetId="50" r:id="rId50"/>
    <sheet name="PREONE" sheetId="51" r:id="rId51"/>
    <sheet name="RAGOGNA" sheetId="52" r:id="rId52"/>
    <sheet name="RAVASCLETTO" sheetId="53" r:id="rId53"/>
    <sheet name="RAVEO" sheetId="54" r:id="rId54"/>
    <sheet name="REANA DEL ROJALE" sheetId="55" r:id="rId55"/>
    <sheet name="REMANZACCO" sheetId="56" r:id="rId56"/>
    <sheet name="RESIUTTA" sheetId="57" r:id="rId57"/>
    <sheet name="RIGOLATO" sheetId="58" r:id="rId58"/>
    <sheet name="RIVE D'ARCANO" sheetId="59" r:id="rId59"/>
    <sheet name="RIVIGNANO TEOR" sheetId="60" r:id="rId60"/>
    <sheet name="SAN DANIELE DEL FRIULI" sheetId="61" r:id="rId61"/>
    <sheet name="SAN DORLIGO DELLA VALLE - DOLI" sheetId="62" r:id="rId62"/>
    <sheet name="SAN GIOVANNI AL NATISONE" sheetId="63" r:id="rId63"/>
    <sheet name="SAN VITO DI FAGAGNA" sheetId="64" r:id="rId64"/>
    <sheet name="SAPPADA" sheetId="65" r:id="rId65"/>
    <sheet name="SAURIS" sheetId="66" r:id="rId66"/>
    <sheet name="SEDEGLIANO" sheetId="67" r:id="rId67"/>
    <sheet name="SOCCHIEVE" sheetId="68" r:id="rId68"/>
    <sheet name="SUTRIO" sheetId="69" r:id="rId69"/>
    <sheet name="TAIPANA" sheetId="70" r:id="rId70"/>
    <sheet name="TARCENTO" sheetId="71" r:id="rId71"/>
    <sheet name="TOLMEZZO" sheetId="72" r:id="rId72"/>
    <sheet name="TRASAGHIS" sheetId="73" r:id="rId73"/>
    <sheet name="TREPPO GRANDE" sheetId="74" r:id="rId74"/>
    <sheet name="TREPPO LIGOSULLO" sheetId="75" r:id="rId75"/>
    <sheet name="VARMO" sheetId="76" r:id="rId76"/>
    <sheet name="VENZONE" sheetId="77" r:id="rId77"/>
    <sheet name="VERZEGNIS" sheetId="78" r:id="rId78"/>
    <sheet name="VILLA SANTINA" sheetId="79" r:id="rId79"/>
    <sheet name="ZUGLIO" sheetId="80" r:id="rId8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4" i="80" l="1"/>
  <c r="G63" i="80"/>
  <c r="G62" i="80"/>
  <c r="G61" i="80"/>
  <c r="E56" i="80"/>
  <c r="D56" i="80"/>
  <c r="C56" i="80"/>
  <c r="E55" i="80"/>
  <c r="D55" i="80"/>
  <c r="C55" i="80"/>
  <c r="G49" i="80"/>
  <c r="H49" i="80" s="1"/>
  <c r="G48" i="80"/>
  <c r="H48" i="80" s="1"/>
  <c r="H47" i="80"/>
  <c r="G47" i="80"/>
  <c r="F40" i="80"/>
  <c r="E40" i="80"/>
  <c r="D40" i="80"/>
  <c r="C40" i="80"/>
  <c r="H39" i="80"/>
  <c r="G39" i="80"/>
  <c r="G38" i="80"/>
  <c r="H38" i="80" s="1"/>
  <c r="J37" i="80"/>
  <c r="G37" i="80"/>
  <c r="H36" i="80"/>
  <c r="G36" i="80"/>
  <c r="J36" i="80" s="1"/>
  <c r="H35" i="80"/>
  <c r="G35" i="80"/>
  <c r="H34" i="80"/>
  <c r="G34" i="80"/>
  <c r="G33" i="80"/>
  <c r="H33" i="80" s="1"/>
  <c r="J32" i="80"/>
  <c r="G32" i="80"/>
  <c r="H31" i="80"/>
  <c r="G31" i="80"/>
  <c r="J31" i="80" s="1"/>
  <c r="G30" i="80"/>
  <c r="H30" i="80" s="1"/>
  <c r="J29" i="80"/>
  <c r="G29" i="80"/>
  <c r="H28" i="80"/>
  <c r="G28" i="80"/>
  <c r="J28" i="80" s="1"/>
  <c r="G27" i="80"/>
  <c r="H27" i="80" s="1"/>
  <c r="J26" i="80"/>
  <c r="G26" i="80"/>
  <c r="H25" i="80"/>
  <c r="G25" i="80"/>
  <c r="J25" i="80" s="1"/>
  <c r="G24" i="80"/>
  <c r="H24" i="80" s="1"/>
  <c r="J23" i="80"/>
  <c r="G23" i="80"/>
  <c r="H22" i="80"/>
  <c r="G22" i="80"/>
  <c r="J22" i="80" s="1"/>
  <c r="H21" i="80"/>
  <c r="G21" i="80"/>
  <c r="J20" i="80"/>
  <c r="H20" i="80"/>
  <c r="G20" i="80"/>
  <c r="G19" i="80"/>
  <c r="J18" i="80"/>
  <c r="H18" i="80"/>
  <c r="G18" i="80"/>
  <c r="J17" i="80"/>
  <c r="H17" i="80"/>
  <c r="G17" i="80"/>
  <c r="G16" i="80"/>
  <c r="J15" i="80"/>
  <c r="H15" i="80"/>
  <c r="G15" i="80"/>
  <c r="J14" i="80"/>
  <c r="H14" i="80"/>
  <c r="G14" i="80"/>
  <c r="G13" i="80"/>
  <c r="G12" i="80"/>
  <c r="H12" i="80" s="1"/>
  <c r="H11" i="80"/>
  <c r="G11" i="80"/>
  <c r="J11" i="80" s="1"/>
  <c r="G10" i="80"/>
  <c r="H10" i="80" s="1"/>
  <c r="J9" i="80"/>
  <c r="G9" i="80"/>
  <c r="G40" i="80" s="1"/>
  <c r="G66" i="79"/>
  <c r="G65" i="79"/>
  <c r="G64" i="79"/>
  <c r="G63" i="79"/>
  <c r="E58" i="79"/>
  <c r="D58" i="79"/>
  <c r="C58" i="79"/>
  <c r="E57" i="79"/>
  <c r="D57" i="79"/>
  <c r="C57" i="79"/>
  <c r="H51" i="79"/>
  <c r="G51" i="79"/>
  <c r="G50" i="79"/>
  <c r="H50" i="79" s="1"/>
  <c r="H49" i="79"/>
  <c r="G49" i="79"/>
  <c r="F42" i="79"/>
  <c r="E42" i="79"/>
  <c r="D42" i="79"/>
  <c r="C42" i="79"/>
  <c r="G41" i="79"/>
  <c r="H41" i="79" s="1"/>
  <c r="H40" i="79"/>
  <c r="G40" i="79"/>
  <c r="G39" i="79"/>
  <c r="H39" i="79" s="1"/>
  <c r="G38" i="79"/>
  <c r="H38" i="79" s="1"/>
  <c r="G37" i="79"/>
  <c r="H37" i="79" s="1"/>
  <c r="H36" i="79"/>
  <c r="G36" i="79"/>
  <c r="J36" i="79" s="1"/>
  <c r="G35" i="79"/>
  <c r="H34" i="79"/>
  <c r="G34" i="79"/>
  <c r="G33" i="79"/>
  <c r="J32" i="79"/>
  <c r="H32" i="79"/>
  <c r="G32" i="79"/>
  <c r="J31" i="79"/>
  <c r="H31" i="79"/>
  <c r="G31" i="79"/>
  <c r="G30" i="79"/>
  <c r="J29" i="79"/>
  <c r="H29" i="79"/>
  <c r="G29" i="79"/>
  <c r="J28" i="79"/>
  <c r="H28" i="79"/>
  <c r="G28" i="79"/>
  <c r="G27" i="79"/>
  <c r="G26" i="79"/>
  <c r="H26" i="79" s="1"/>
  <c r="H25" i="79"/>
  <c r="G25" i="79"/>
  <c r="J25" i="79" s="1"/>
  <c r="G24" i="79"/>
  <c r="J23" i="79"/>
  <c r="G23" i="79"/>
  <c r="H23" i="79" s="1"/>
  <c r="H22" i="79"/>
  <c r="G22" i="79"/>
  <c r="J22" i="79" s="1"/>
  <c r="G21" i="79"/>
  <c r="J20" i="79"/>
  <c r="G20" i="79"/>
  <c r="H20" i="79" s="1"/>
  <c r="H19" i="79"/>
  <c r="G19" i="79"/>
  <c r="J19" i="79" s="1"/>
  <c r="G18" i="79"/>
  <c r="J17" i="79"/>
  <c r="G17" i="79"/>
  <c r="H17" i="79" s="1"/>
  <c r="H16" i="79"/>
  <c r="G16" i="79"/>
  <c r="J16" i="79" s="1"/>
  <c r="G15" i="79"/>
  <c r="J14" i="79"/>
  <c r="G14" i="79"/>
  <c r="H14" i="79" s="1"/>
  <c r="H13" i="79"/>
  <c r="G13" i="79"/>
  <c r="J13" i="79" s="1"/>
  <c r="G12" i="79"/>
  <c r="J11" i="79"/>
  <c r="G11" i="79"/>
  <c r="H11" i="79" s="1"/>
  <c r="H10" i="79"/>
  <c r="G10" i="79"/>
  <c r="J10" i="79" s="1"/>
  <c r="G9" i="79"/>
  <c r="G66" i="78"/>
  <c r="G65" i="78"/>
  <c r="G64" i="78"/>
  <c r="G63" i="78"/>
  <c r="E58" i="78"/>
  <c r="D58" i="78"/>
  <c r="C58" i="78"/>
  <c r="E57" i="78"/>
  <c r="D57" i="78"/>
  <c r="C57" i="78"/>
  <c r="G51" i="78"/>
  <c r="H51" i="78" s="1"/>
  <c r="H50" i="78"/>
  <c r="G50" i="78"/>
  <c r="G49" i="78"/>
  <c r="H49" i="78" s="1"/>
  <c r="F42" i="78"/>
  <c r="E42" i="78"/>
  <c r="D42" i="78"/>
  <c r="C42" i="78"/>
  <c r="H41" i="78"/>
  <c r="G41" i="78"/>
  <c r="H40" i="78"/>
  <c r="G40" i="78"/>
  <c r="H39" i="78"/>
  <c r="G39" i="78"/>
  <c r="J38" i="78"/>
  <c r="H38" i="78"/>
  <c r="G38" i="78"/>
  <c r="G37" i="78"/>
  <c r="H37" i="78" s="1"/>
  <c r="J36" i="78"/>
  <c r="H36" i="78"/>
  <c r="G36" i="78"/>
  <c r="H35" i="78"/>
  <c r="G35" i="78"/>
  <c r="G34" i="78"/>
  <c r="J33" i="78"/>
  <c r="G33" i="78"/>
  <c r="H32" i="78"/>
  <c r="G32" i="78"/>
  <c r="J32" i="78" s="1"/>
  <c r="G31" i="78"/>
  <c r="J30" i="78"/>
  <c r="G30" i="78"/>
  <c r="H29" i="78"/>
  <c r="G29" i="78"/>
  <c r="J29" i="78" s="1"/>
  <c r="G28" i="78"/>
  <c r="J27" i="78"/>
  <c r="G27" i="78"/>
  <c r="H26" i="78"/>
  <c r="G26" i="78"/>
  <c r="J26" i="78" s="1"/>
  <c r="G25" i="78"/>
  <c r="J24" i="78"/>
  <c r="G24" i="78"/>
  <c r="H23" i="78"/>
  <c r="G23" i="78"/>
  <c r="J23" i="78" s="1"/>
  <c r="G22" i="78"/>
  <c r="J21" i="78"/>
  <c r="G21" i="78"/>
  <c r="H20" i="78"/>
  <c r="G20" i="78"/>
  <c r="J20" i="78" s="1"/>
  <c r="G19" i="78"/>
  <c r="J18" i="78"/>
  <c r="G18" i="78"/>
  <c r="H17" i="78"/>
  <c r="G17" i="78"/>
  <c r="J17" i="78" s="1"/>
  <c r="G16" i="78"/>
  <c r="J15" i="78"/>
  <c r="G15" i="78"/>
  <c r="H14" i="78"/>
  <c r="G14" i="78"/>
  <c r="J14" i="78" s="1"/>
  <c r="G13" i="78"/>
  <c r="J12" i="78"/>
  <c r="G12" i="78"/>
  <c r="H11" i="78"/>
  <c r="G11" i="78"/>
  <c r="J11" i="78" s="1"/>
  <c r="G10" i="78"/>
  <c r="J9" i="78"/>
  <c r="G9" i="78"/>
  <c r="G62" i="77"/>
  <c r="G61" i="77"/>
  <c r="G60" i="77"/>
  <c r="G59" i="77"/>
  <c r="E54" i="77"/>
  <c r="D54" i="77"/>
  <c r="C54" i="77"/>
  <c r="E53" i="77"/>
  <c r="D53" i="77"/>
  <c r="C53" i="77"/>
  <c r="G47" i="77"/>
  <c r="H47" i="77" s="1"/>
  <c r="G46" i="77"/>
  <c r="H46" i="77" s="1"/>
  <c r="H45" i="77"/>
  <c r="G45" i="77"/>
  <c r="F38" i="77"/>
  <c r="E38" i="77"/>
  <c r="D38" i="77"/>
  <c r="C38" i="77"/>
  <c r="J37" i="77"/>
  <c r="G37" i="77"/>
  <c r="H36" i="77"/>
  <c r="G36" i="77"/>
  <c r="J36" i="77" s="1"/>
  <c r="G35" i="77"/>
  <c r="G34" i="77"/>
  <c r="H34" i="77" s="1"/>
  <c r="G33" i="77"/>
  <c r="G32" i="77"/>
  <c r="H32" i="77" s="1"/>
  <c r="G31" i="77"/>
  <c r="G30" i="77"/>
  <c r="H30" i="77" s="1"/>
  <c r="G29" i="77"/>
  <c r="H28" i="77"/>
  <c r="G28" i="77"/>
  <c r="J28" i="77" s="1"/>
  <c r="J27" i="77"/>
  <c r="G27" i="77"/>
  <c r="H27" i="77" s="1"/>
  <c r="H26" i="77"/>
  <c r="G26" i="77"/>
  <c r="H25" i="77"/>
  <c r="G25" i="77"/>
  <c r="J25" i="77" s="1"/>
  <c r="J24" i="77"/>
  <c r="G24" i="77"/>
  <c r="H24" i="77" s="1"/>
  <c r="H23" i="77"/>
  <c r="G23" i="77"/>
  <c r="J22" i="77"/>
  <c r="H22" i="77"/>
  <c r="G22" i="77"/>
  <c r="J21" i="77"/>
  <c r="H21" i="77"/>
  <c r="G21" i="77"/>
  <c r="G20" i="77"/>
  <c r="J19" i="77"/>
  <c r="H19" i="77"/>
  <c r="G19" i="77"/>
  <c r="J18" i="77"/>
  <c r="H18" i="77"/>
  <c r="G18" i="77"/>
  <c r="G17" i="77"/>
  <c r="J16" i="77"/>
  <c r="H16" i="77"/>
  <c r="G16" i="77"/>
  <c r="J15" i="77"/>
  <c r="H15" i="77"/>
  <c r="G15" i="77"/>
  <c r="J14" i="77"/>
  <c r="H14" i="77"/>
  <c r="G14" i="77"/>
  <c r="J13" i="77"/>
  <c r="H13" i="77"/>
  <c r="G13" i="77"/>
  <c r="J12" i="77"/>
  <c r="H12" i="77"/>
  <c r="G12" i="77"/>
  <c r="H11" i="77"/>
  <c r="G11" i="77"/>
  <c r="J11" i="77" s="1"/>
  <c r="J10" i="77"/>
  <c r="H10" i="77"/>
  <c r="G10" i="77"/>
  <c r="J9" i="77"/>
  <c r="H9" i="77"/>
  <c r="G9" i="77"/>
  <c r="G68" i="76"/>
  <c r="G67" i="76"/>
  <c r="G66" i="76"/>
  <c r="G65" i="76"/>
  <c r="E60" i="76"/>
  <c r="D60" i="76"/>
  <c r="C60" i="76"/>
  <c r="E59" i="76"/>
  <c r="D59" i="76"/>
  <c r="C59" i="76"/>
  <c r="H53" i="76"/>
  <c r="G53" i="76"/>
  <c r="H52" i="76"/>
  <c r="G52" i="76"/>
  <c r="G51" i="76"/>
  <c r="H51" i="76" s="1"/>
  <c r="F44" i="76"/>
  <c r="E44" i="76"/>
  <c r="D44" i="76"/>
  <c r="C44" i="76"/>
  <c r="H43" i="76"/>
  <c r="G43" i="76"/>
  <c r="H42" i="76"/>
  <c r="G42" i="76"/>
  <c r="H41" i="76"/>
  <c r="G41" i="76"/>
  <c r="G40" i="76"/>
  <c r="J39" i="76"/>
  <c r="H39" i="76"/>
  <c r="G39" i="76"/>
  <c r="H38" i="76"/>
  <c r="G38" i="76"/>
  <c r="J38" i="76" s="1"/>
  <c r="H37" i="76"/>
  <c r="G37" i="76"/>
  <c r="G36" i="76"/>
  <c r="J35" i="76"/>
  <c r="H35" i="76"/>
  <c r="G35" i="76"/>
  <c r="H34" i="76"/>
  <c r="G34" i="76"/>
  <c r="J34" i="76" s="1"/>
  <c r="H33" i="76"/>
  <c r="G33" i="76"/>
  <c r="G32" i="76"/>
  <c r="J31" i="76"/>
  <c r="H31" i="76"/>
  <c r="G31" i="76"/>
  <c r="H30" i="76"/>
  <c r="G30" i="76"/>
  <c r="J30" i="76" s="1"/>
  <c r="J29" i="76"/>
  <c r="G29" i="76"/>
  <c r="H29" i="76" s="1"/>
  <c r="G28" i="76"/>
  <c r="J27" i="76"/>
  <c r="H27" i="76"/>
  <c r="G27" i="76"/>
  <c r="J26" i="76"/>
  <c r="G26" i="76"/>
  <c r="H26" i="76" s="1"/>
  <c r="J25" i="76"/>
  <c r="G25" i="76"/>
  <c r="H25" i="76" s="1"/>
  <c r="J24" i="76"/>
  <c r="H24" i="76"/>
  <c r="G24" i="76"/>
  <c r="G23" i="76"/>
  <c r="J22" i="76"/>
  <c r="H22" i="76"/>
  <c r="G22" i="76"/>
  <c r="J21" i="76"/>
  <c r="H21" i="76"/>
  <c r="G21" i="76"/>
  <c r="J20" i="76"/>
  <c r="G20" i="76"/>
  <c r="H20" i="76" s="1"/>
  <c r="H19" i="76"/>
  <c r="G19" i="76"/>
  <c r="J18" i="76"/>
  <c r="H18" i="76"/>
  <c r="G18" i="76"/>
  <c r="J17" i="76"/>
  <c r="G17" i="76"/>
  <c r="H17" i="76" s="1"/>
  <c r="J16" i="76"/>
  <c r="G16" i="76"/>
  <c r="H16" i="76" s="1"/>
  <c r="J15" i="76"/>
  <c r="H15" i="76"/>
  <c r="G15" i="76"/>
  <c r="G14" i="76"/>
  <c r="G13" i="76"/>
  <c r="J12" i="76"/>
  <c r="H12" i="76"/>
  <c r="G12" i="76"/>
  <c r="J11" i="76"/>
  <c r="G11" i="76"/>
  <c r="H11" i="76" s="1"/>
  <c r="G10" i="76"/>
  <c r="H10" i="76" s="1"/>
  <c r="J9" i="76"/>
  <c r="H9" i="76"/>
  <c r="G9" i="76"/>
  <c r="G62" i="75"/>
  <c r="G61" i="75"/>
  <c r="G60" i="75"/>
  <c r="G59" i="75"/>
  <c r="E54" i="75"/>
  <c r="D54" i="75"/>
  <c r="C54" i="75"/>
  <c r="E53" i="75"/>
  <c r="D53" i="75"/>
  <c r="C53" i="75"/>
  <c r="H47" i="75"/>
  <c r="G47" i="75"/>
  <c r="G46" i="75"/>
  <c r="H46" i="75" s="1"/>
  <c r="G45" i="75"/>
  <c r="H45" i="75" s="1"/>
  <c r="F38" i="75"/>
  <c r="E38" i="75"/>
  <c r="D38" i="75"/>
  <c r="C38" i="75"/>
  <c r="G37" i="75"/>
  <c r="G36" i="75"/>
  <c r="H35" i="75"/>
  <c r="G35" i="75"/>
  <c r="J35" i="75" s="1"/>
  <c r="G34" i="75"/>
  <c r="H34" i="75" s="1"/>
  <c r="G33" i="75"/>
  <c r="H33" i="75" s="1"/>
  <c r="G32" i="75"/>
  <c r="G31" i="75"/>
  <c r="H30" i="75"/>
  <c r="G30" i="75"/>
  <c r="J30" i="75" s="1"/>
  <c r="J29" i="75"/>
  <c r="G29" i="75"/>
  <c r="H29" i="75" s="1"/>
  <c r="G28" i="75"/>
  <c r="J27" i="75"/>
  <c r="H27" i="75"/>
  <c r="G27" i="75"/>
  <c r="G26" i="75"/>
  <c r="J25" i="75"/>
  <c r="H25" i="75"/>
  <c r="G25" i="75"/>
  <c r="J24" i="75"/>
  <c r="H24" i="75"/>
  <c r="G24" i="75"/>
  <c r="J23" i="75"/>
  <c r="G23" i="75"/>
  <c r="G22" i="75"/>
  <c r="J21" i="75"/>
  <c r="H21" i="75"/>
  <c r="G21" i="75"/>
  <c r="H20" i="75"/>
  <c r="G20" i="75"/>
  <c r="G19" i="75"/>
  <c r="J18" i="75"/>
  <c r="G18" i="75"/>
  <c r="H18" i="75" s="1"/>
  <c r="G17" i="75"/>
  <c r="J17" i="75" s="1"/>
  <c r="J16" i="75"/>
  <c r="G16" i="75"/>
  <c r="H16" i="75" s="1"/>
  <c r="G15" i="75"/>
  <c r="J15" i="75" s="1"/>
  <c r="G14" i="75"/>
  <c r="J13" i="75"/>
  <c r="G13" i="75"/>
  <c r="H13" i="75" s="1"/>
  <c r="G12" i="75"/>
  <c r="H12" i="75" s="1"/>
  <c r="G11" i="75"/>
  <c r="J10" i="75"/>
  <c r="H10" i="75"/>
  <c r="G10" i="75"/>
  <c r="G9" i="75"/>
  <c r="G43" i="74"/>
  <c r="G42" i="74"/>
  <c r="G41" i="74"/>
  <c r="G40" i="74"/>
  <c r="E35" i="74"/>
  <c r="D35" i="74"/>
  <c r="C35" i="74"/>
  <c r="E34" i="74"/>
  <c r="D34" i="74"/>
  <c r="C34" i="74"/>
  <c r="G28" i="74"/>
  <c r="H28" i="74" s="1"/>
  <c r="G27" i="74"/>
  <c r="H27" i="74" s="1"/>
  <c r="G26" i="74"/>
  <c r="H26" i="74" s="1"/>
  <c r="F19" i="74"/>
  <c r="E19" i="74"/>
  <c r="D19" i="74"/>
  <c r="C19" i="74"/>
  <c r="G18" i="74"/>
  <c r="J17" i="74"/>
  <c r="H17" i="74"/>
  <c r="G17" i="74"/>
  <c r="H16" i="74"/>
  <c r="G16" i="74"/>
  <c r="J16" i="74" s="1"/>
  <c r="G15" i="74"/>
  <c r="H15" i="74" s="1"/>
  <c r="J14" i="74"/>
  <c r="H14" i="74"/>
  <c r="G14" i="74"/>
  <c r="H13" i="74"/>
  <c r="G13" i="74"/>
  <c r="J12" i="74"/>
  <c r="G12" i="74"/>
  <c r="H12" i="74" s="1"/>
  <c r="G11" i="74"/>
  <c r="H11" i="74" s="1"/>
  <c r="G10" i="74"/>
  <c r="J9" i="74"/>
  <c r="G9" i="74"/>
  <c r="G69" i="73"/>
  <c r="G68" i="73"/>
  <c r="G67" i="73"/>
  <c r="G66" i="73"/>
  <c r="E61" i="73"/>
  <c r="D61" i="73"/>
  <c r="C61" i="73"/>
  <c r="E60" i="73"/>
  <c r="D60" i="73"/>
  <c r="C60" i="73"/>
  <c r="G54" i="73"/>
  <c r="H54" i="73" s="1"/>
  <c r="G53" i="73"/>
  <c r="H53" i="73" s="1"/>
  <c r="G52" i="73"/>
  <c r="H52" i="73" s="1"/>
  <c r="F45" i="73"/>
  <c r="E45" i="73"/>
  <c r="D45" i="73"/>
  <c r="C45" i="73"/>
  <c r="H44" i="73"/>
  <c r="G44" i="73"/>
  <c r="H43" i="73"/>
  <c r="G43" i="73"/>
  <c r="H42" i="73"/>
  <c r="G42" i="73"/>
  <c r="G41" i="73"/>
  <c r="J40" i="73"/>
  <c r="G40" i="73"/>
  <c r="H40" i="73" s="1"/>
  <c r="G39" i="73"/>
  <c r="G38" i="73"/>
  <c r="J38" i="73" s="1"/>
  <c r="H37" i="73"/>
  <c r="G37" i="73"/>
  <c r="G36" i="73"/>
  <c r="J35" i="73"/>
  <c r="H35" i="73"/>
  <c r="G35" i="73"/>
  <c r="H34" i="73"/>
  <c r="G34" i="73"/>
  <c r="J34" i="73" s="1"/>
  <c r="J33" i="73"/>
  <c r="G33" i="73"/>
  <c r="J32" i="73"/>
  <c r="H32" i="73"/>
  <c r="G32" i="73"/>
  <c r="G31" i="73"/>
  <c r="J31" i="73" s="1"/>
  <c r="G30" i="73"/>
  <c r="J29" i="73"/>
  <c r="H29" i="73"/>
  <c r="G29" i="73"/>
  <c r="H28" i="73"/>
  <c r="G28" i="73"/>
  <c r="J28" i="73" s="1"/>
  <c r="G27" i="73"/>
  <c r="H27" i="73" s="1"/>
  <c r="J26" i="73"/>
  <c r="H26" i="73"/>
  <c r="G26" i="73"/>
  <c r="H25" i="73"/>
  <c r="G25" i="73"/>
  <c r="J24" i="73"/>
  <c r="G24" i="73"/>
  <c r="H24" i="73" s="1"/>
  <c r="G23" i="73"/>
  <c r="H23" i="73" s="1"/>
  <c r="G22" i="73"/>
  <c r="H21" i="73"/>
  <c r="G21" i="73"/>
  <c r="G20" i="73"/>
  <c r="J20" i="73" s="1"/>
  <c r="G19" i="73"/>
  <c r="J19" i="73" s="1"/>
  <c r="J18" i="73"/>
  <c r="H18" i="73"/>
  <c r="G18" i="73"/>
  <c r="H17" i="73"/>
  <c r="G17" i="73"/>
  <c r="J17" i="73" s="1"/>
  <c r="J16" i="73"/>
  <c r="G16" i="73"/>
  <c r="J15" i="73"/>
  <c r="H15" i="73"/>
  <c r="G15" i="73"/>
  <c r="G14" i="73"/>
  <c r="J14" i="73" s="1"/>
  <c r="G13" i="73"/>
  <c r="J13" i="73" s="1"/>
  <c r="J12" i="73"/>
  <c r="H12" i="73"/>
  <c r="G12" i="73"/>
  <c r="H11" i="73"/>
  <c r="G11" i="73"/>
  <c r="J11" i="73" s="1"/>
  <c r="J10" i="73"/>
  <c r="G10" i="73"/>
  <c r="J9" i="73"/>
  <c r="H9" i="73"/>
  <c r="G9" i="73"/>
  <c r="G73" i="72"/>
  <c r="G72" i="72"/>
  <c r="G71" i="72"/>
  <c r="G70" i="72"/>
  <c r="E65" i="72"/>
  <c r="D65" i="72"/>
  <c r="C65" i="72"/>
  <c r="E64" i="72"/>
  <c r="D64" i="72"/>
  <c r="C64" i="72"/>
  <c r="H58" i="72"/>
  <c r="G58" i="72"/>
  <c r="G57" i="72"/>
  <c r="H57" i="72" s="1"/>
  <c r="G56" i="72"/>
  <c r="H56" i="72" s="1"/>
  <c r="F49" i="72"/>
  <c r="E49" i="72"/>
  <c r="D49" i="72"/>
  <c r="C49" i="72"/>
  <c r="H48" i="72"/>
  <c r="G48" i="72"/>
  <c r="G47" i="72"/>
  <c r="H46" i="72"/>
  <c r="G46" i="72"/>
  <c r="G45" i="72"/>
  <c r="J44" i="72"/>
  <c r="H44" i="72"/>
  <c r="G44" i="72"/>
  <c r="H43" i="72"/>
  <c r="G43" i="72"/>
  <c r="J43" i="72" s="1"/>
  <c r="J42" i="72"/>
  <c r="G42" i="72"/>
  <c r="G41" i="72"/>
  <c r="H41" i="72" s="1"/>
  <c r="G40" i="72"/>
  <c r="J39" i="72"/>
  <c r="H39" i="72"/>
  <c r="G39" i="72"/>
  <c r="H38" i="72"/>
  <c r="G38" i="72"/>
  <c r="H37" i="72"/>
  <c r="G37" i="72"/>
  <c r="H36" i="72"/>
  <c r="G36" i="72"/>
  <c r="J36" i="72" s="1"/>
  <c r="G35" i="72"/>
  <c r="H35" i="72" s="1"/>
  <c r="J34" i="72"/>
  <c r="H34" i="72"/>
  <c r="G34" i="72"/>
  <c r="H33" i="72"/>
  <c r="G33" i="72"/>
  <c r="J32" i="72"/>
  <c r="G32" i="72"/>
  <c r="H32" i="72" s="1"/>
  <c r="G31" i="72"/>
  <c r="J31" i="72" s="1"/>
  <c r="G30" i="72"/>
  <c r="J29" i="72"/>
  <c r="G29" i="72"/>
  <c r="H29" i="72" s="1"/>
  <c r="J28" i="72"/>
  <c r="H28" i="72"/>
  <c r="G28" i="72"/>
  <c r="H27" i="72"/>
  <c r="G27" i="72"/>
  <c r="J26" i="72"/>
  <c r="G26" i="72"/>
  <c r="H26" i="72" s="1"/>
  <c r="G25" i="72"/>
  <c r="J25" i="72" s="1"/>
  <c r="G24" i="72"/>
  <c r="J23" i="72"/>
  <c r="G23" i="72"/>
  <c r="H23" i="72" s="1"/>
  <c r="J22" i="72"/>
  <c r="H22" i="72"/>
  <c r="G22" i="72"/>
  <c r="H21" i="72"/>
  <c r="G21" i="72"/>
  <c r="J20" i="72"/>
  <c r="G20" i="72"/>
  <c r="H20" i="72" s="1"/>
  <c r="G19" i="72"/>
  <c r="J19" i="72" s="1"/>
  <c r="H18" i="72"/>
  <c r="G18" i="72"/>
  <c r="J18" i="72" s="1"/>
  <c r="J17" i="72"/>
  <c r="G17" i="72"/>
  <c r="H17" i="72" s="1"/>
  <c r="G16" i="72"/>
  <c r="H15" i="72"/>
  <c r="G15" i="72"/>
  <c r="J15" i="72" s="1"/>
  <c r="G14" i="72"/>
  <c r="G13" i="72"/>
  <c r="H13" i="72" s="1"/>
  <c r="H12" i="72"/>
  <c r="G12" i="72"/>
  <c r="J12" i="72" s="1"/>
  <c r="J11" i="72"/>
  <c r="G11" i="72"/>
  <c r="H11" i="72" s="1"/>
  <c r="G10" i="72"/>
  <c r="H9" i="72"/>
  <c r="G9" i="72"/>
  <c r="J9" i="72" s="1"/>
  <c r="G60" i="71"/>
  <c r="G59" i="71"/>
  <c r="G58" i="71"/>
  <c r="G57" i="71"/>
  <c r="E52" i="71"/>
  <c r="D52" i="71"/>
  <c r="C52" i="71"/>
  <c r="E51" i="71"/>
  <c r="D51" i="71"/>
  <c r="C51" i="71"/>
  <c r="H45" i="71"/>
  <c r="G45" i="71"/>
  <c r="H44" i="71"/>
  <c r="G44" i="71"/>
  <c r="G43" i="71"/>
  <c r="H43" i="71" s="1"/>
  <c r="F36" i="71"/>
  <c r="E36" i="71"/>
  <c r="D36" i="71"/>
  <c r="C36" i="71"/>
  <c r="H35" i="71"/>
  <c r="G35" i="71"/>
  <c r="J34" i="71"/>
  <c r="H34" i="71"/>
  <c r="G34" i="71"/>
  <c r="J33" i="71"/>
  <c r="H33" i="71"/>
  <c r="G33" i="71"/>
  <c r="G32" i="71"/>
  <c r="J32" i="71" s="1"/>
  <c r="J31" i="71"/>
  <c r="H31" i="71"/>
  <c r="G31" i="71"/>
  <c r="G30" i="71"/>
  <c r="I30" i="71" s="1"/>
  <c r="H29" i="71"/>
  <c r="G29" i="71"/>
  <c r="J28" i="71"/>
  <c r="H28" i="71"/>
  <c r="G28" i="71"/>
  <c r="J27" i="71"/>
  <c r="H27" i="71"/>
  <c r="G27" i="71"/>
  <c r="G26" i="71"/>
  <c r="G25" i="71"/>
  <c r="I25" i="71" s="1"/>
  <c r="G24" i="71"/>
  <c r="G23" i="71"/>
  <c r="G22" i="71"/>
  <c r="I22" i="71" s="1"/>
  <c r="G21" i="71"/>
  <c r="G20" i="71"/>
  <c r="G19" i="71"/>
  <c r="H19" i="71" s="1"/>
  <c r="G18" i="71"/>
  <c r="J18" i="71" s="1"/>
  <c r="G17" i="71"/>
  <c r="I17" i="71" s="1"/>
  <c r="J16" i="71"/>
  <c r="G16" i="71"/>
  <c r="H16" i="71" s="1"/>
  <c r="G15" i="71"/>
  <c r="J15" i="71" s="1"/>
  <c r="G14" i="71"/>
  <c r="J13" i="71"/>
  <c r="G13" i="71"/>
  <c r="H13" i="71" s="1"/>
  <c r="H12" i="71"/>
  <c r="G12" i="71"/>
  <c r="J12" i="71" s="1"/>
  <c r="G11" i="71"/>
  <c r="J11" i="71" s="1"/>
  <c r="J10" i="71"/>
  <c r="G10" i="71"/>
  <c r="H10" i="71" s="1"/>
  <c r="G9" i="71"/>
  <c r="G36" i="71" s="1"/>
  <c r="I31" i="71" s="1"/>
  <c r="G57" i="70"/>
  <c r="G56" i="70"/>
  <c r="G55" i="70"/>
  <c r="G54" i="70"/>
  <c r="E49" i="70"/>
  <c r="D49" i="70"/>
  <c r="C49" i="70"/>
  <c r="E48" i="70"/>
  <c r="D48" i="70"/>
  <c r="C48" i="70"/>
  <c r="G42" i="70"/>
  <c r="H42" i="70" s="1"/>
  <c r="G41" i="70"/>
  <c r="H41" i="70" s="1"/>
  <c r="H40" i="70"/>
  <c r="G40" i="70"/>
  <c r="F33" i="70"/>
  <c r="E33" i="70"/>
  <c r="D33" i="70"/>
  <c r="C33" i="70"/>
  <c r="J32" i="70"/>
  <c r="H32" i="70"/>
  <c r="G32" i="70"/>
  <c r="G31" i="70"/>
  <c r="J31" i="70" s="1"/>
  <c r="J30" i="70"/>
  <c r="G30" i="70"/>
  <c r="H30" i="70" s="1"/>
  <c r="G29" i="70"/>
  <c r="J29" i="70" s="1"/>
  <c r="G28" i="70"/>
  <c r="J28" i="70" s="1"/>
  <c r="G27" i="70"/>
  <c r="H27" i="70" s="1"/>
  <c r="J26" i="70"/>
  <c r="G26" i="70"/>
  <c r="H26" i="70" s="1"/>
  <c r="H25" i="70"/>
  <c r="G25" i="70"/>
  <c r="J25" i="70" s="1"/>
  <c r="G24" i="70"/>
  <c r="H24" i="70" s="1"/>
  <c r="H23" i="70"/>
  <c r="G23" i="70"/>
  <c r="G22" i="70"/>
  <c r="J22" i="70" s="1"/>
  <c r="J21" i="70"/>
  <c r="H21" i="70"/>
  <c r="G21" i="70"/>
  <c r="G20" i="70"/>
  <c r="J20" i="70" s="1"/>
  <c r="J19" i="70"/>
  <c r="G19" i="70"/>
  <c r="H19" i="70" s="1"/>
  <c r="J18" i="70"/>
  <c r="H18" i="70"/>
  <c r="G18" i="70"/>
  <c r="G17" i="70"/>
  <c r="J16" i="70"/>
  <c r="H16" i="70"/>
  <c r="G16" i="70"/>
  <c r="J15" i="70"/>
  <c r="H15" i="70"/>
  <c r="G15" i="70"/>
  <c r="J14" i="70"/>
  <c r="G14" i="70"/>
  <c r="H14" i="70" s="1"/>
  <c r="G13" i="70"/>
  <c r="J12" i="70"/>
  <c r="H12" i="70"/>
  <c r="G12" i="70"/>
  <c r="J11" i="70"/>
  <c r="G11" i="70"/>
  <c r="H11" i="70" s="1"/>
  <c r="G10" i="70"/>
  <c r="J9" i="70"/>
  <c r="H9" i="70"/>
  <c r="G9" i="70"/>
  <c r="G69" i="69"/>
  <c r="G68" i="69"/>
  <c r="G67" i="69"/>
  <c r="G66" i="69"/>
  <c r="E61" i="69"/>
  <c r="D61" i="69"/>
  <c r="C61" i="69"/>
  <c r="E60" i="69"/>
  <c r="D60" i="69"/>
  <c r="C60" i="69"/>
  <c r="H54" i="69"/>
  <c r="G54" i="69"/>
  <c r="G53" i="69"/>
  <c r="H53" i="69" s="1"/>
  <c r="H52" i="69"/>
  <c r="G52" i="69"/>
  <c r="F45" i="69"/>
  <c r="E45" i="69"/>
  <c r="D45" i="69"/>
  <c r="C45" i="69"/>
  <c r="C46" i="69" s="1"/>
  <c r="H44" i="69"/>
  <c r="G44" i="69"/>
  <c r="G43" i="69"/>
  <c r="G42" i="69"/>
  <c r="G41" i="69"/>
  <c r="H41" i="69" s="1"/>
  <c r="J40" i="69"/>
  <c r="H40" i="69"/>
  <c r="G40" i="69"/>
  <c r="G39" i="69"/>
  <c r="G38" i="69"/>
  <c r="H38" i="69" s="1"/>
  <c r="G37" i="69"/>
  <c r="H37" i="69" s="1"/>
  <c r="G36" i="69"/>
  <c r="G35" i="69"/>
  <c r="H35" i="69" s="1"/>
  <c r="G34" i="69"/>
  <c r="J33" i="69"/>
  <c r="H33" i="69"/>
  <c r="G33" i="69"/>
  <c r="J32" i="69"/>
  <c r="H32" i="69"/>
  <c r="G32" i="69"/>
  <c r="G31" i="69"/>
  <c r="J30" i="69"/>
  <c r="H30" i="69"/>
  <c r="G30" i="69"/>
  <c r="G29" i="69"/>
  <c r="J29" i="69" s="1"/>
  <c r="G28" i="69"/>
  <c r="J28" i="69" s="1"/>
  <c r="J27" i="69"/>
  <c r="H27" i="69"/>
  <c r="G27" i="69"/>
  <c r="G26" i="69"/>
  <c r="J26" i="69" s="1"/>
  <c r="J25" i="69"/>
  <c r="G25" i="69"/>
  <c r="H25" i="69" s="1"/>
  <c r="J24" i="69"/>
  <c r="H24" i="69"/>
  <c r="G24" i="69"/>
  <c r="G23" i="69"/>
  <c r="I23" i="69" s="1"/>
  <c r="J22" i="69"/>
  <c r="H22" i="69"/>
  <c r="G22" i="69"/>
  <c r="J21" i="69"/>
  <c r="H21" i="69"/>
  <c r="G21" i="69"/>
  <c r="J20" i="69"/>
  <c r="G20" i="69"/>
  <c r="H20" i="69" s="1"/>
  <c r="G19" i="69"/>
  <c r="J18" i="69"/>
  <c r="H18" i="69"/>
  <c r="G18" i="69"/>
  <c r="J17" i="69"/>
  <c r="G17" i="69"/>
  <c r="H17" i="69" s="1"/>
  <c r="G16" i="69"/>
  <c r="J15" i="69"/>
  <c r="H15" i="69"/>
  <c r="G15" i="69"/>
  <c r="J14" i="69"/>
  <c r="H14" i="69"/>
  <c r="G14" i="69"/>
  <c r="G13" i="69"/>
  <c r="J12" i="69"/>
  <c r="H12" i="69"/>
  <c r="G12" i="69"/>
  <c r="G11" i="69"/>
  <c r="J11" i="69" s="1"/>
  <c r="G10" i="69"/>
  <c r="G45" i="69" s="1"/>
  <c r="J9" i="69"/>
  <c r="H9" i="69"/>
  <c r="G9" i="69"/>
  <c r="G63" i="68"/>
  <c r="G62" i="68"/>
  <c r="G61" i="68"/>
  <c r="G60" i="68"/>
  <c r="E55" i="68"/>
  <c r="D55" i="68"/>
  <c r="C55" i="68"/>
  <c r="E54" i="68"/>
  <c r="D54" i="68"/>
  <c r="C54" i="68"/>
  <c r="H48" i="68"/>
  <c r="G48" i="68"/>
  <c r="G47" i="68"/>
  <c r="H47" i="68" s="1"/>
  <c r="G46" i="68"/>
  <c r="H46" i="68" s="1"/>
  <c r="F39" i="68"/>
  <c r="E39" i="68"/>
  <c r="D39" i="68"/>
  <c r="C39" i="68"/>
  <c r="G38" i="68"/>
  <c r="G37" i="68"/>
  <c r="J37" i="68" s="1"/>
  <c r="G36" i="68"/>
  <c r="H36" i="68" s="1"/>
  <c r="J35" i="68"/>
  <c r="G35" i="68"/>
  <c r="H35" i="68" s="1"/>
  <c r="G34" i="68"/>
  <c r="J34" i="68" s="1"/>
  <c r="G33" i="68"/>
  <c r="H33" i="68" s="1"/>
  <c r="J32" i="68"/>
  <c r="H32" i="68"/>
  <c r="G32" i="68"/>
  <c r="G31" i="68"/>
  <c r="J31" i="68" s="1"/>
  <c r="J30" i="68"/>
  <c r="G30" i="68"/>
  <c r="H30" i="68" s="1"/>
  <c r="G29" i="68"/>
  <c r="J28" i="68"/>
  <c r="H28" i="68"/>
  <c r="G28" i="68"/>
  <c r="J27" i="68"/>
  <c r="H27" i="68"/>
  <c r="G27" i="68"/>
  <c r="J26" i="68"/>
  <c r="G26" i="68"/>
  <c r="H26" i="68" s="1"/>
  <c r="G25" i="68"/>
  <c r="G24" i="68"/>
  <c r="H24" i="68" s="1"/>
  <c r="G23" i="68"/>
  <c r="J23" i="68" s="1"/>
  <c r="G22" i="68"/>
  <c r="H22" i="68" s="1"/>
  <c r="J21" i="68"/>
  <c r="H21" i="68"/>
  <c r="G21" i="68"/>
  <c r="G20" i="68"/>
  <c r="J20" i="68" s="1"/>
  <c r="J19" i="68"/>
  <c r="G19" i="68"/>
  <c r="H19" i="68" s="1"/>
  <c r="G18" i="68"/>
  <c r="J18" i="68" s="1"/>
  <c r="G17" i="68"/>
  <c r="J17" i="68" s="1"/>
  <c r="G16" i="68"/>
  <c r="H16" i="68" s="1"/>
  <c r="J15" i="68"/>
  <c r="G15" i="68"/>
  <c r="H15" i="68" s="1"/>
  <c r="G14" i="68"/>
  <c r="J14" i="68" s="1"/>
  <c r="G13" i="68"/>
  <c r="H13" i="68" s="1"/>
  <c r="J12" i="68"/>
  <c r="H12" i="68"/>
  <c r="G12" i="68"/>
  <c r="G11" i="68"/>
  <c r="J11" i="68" s="1"/>
  <c r="J10" i="68"/>
  <c r="G10" i="68"/>
  <c r="H10" i="68" s="1"/>
  <c r="G9" i="68"/>
  <c r="J9" i="68" s="1"/>
  <c r="G67" i="67"/>
  <c r="G66" i="67"/>
  <c r="G65" i="67"/>
  <c r="G64" i="67"/>
  <c r="E59" i="67"/>
  <c r="D59" i="67"/>
  <c r="C59" i="67"/>
  <c r="E58" i="67"/>
  <c r="D58" i="67"/>
  <c r="C58" i="67"/>
  <c r="G52" i="67"/>
  <c r="H52" i="67" s="1"/>
  <c r="G51" i="67"/>
  <c r="H51" i="67" s="1"/>
  <c r="G50" i="67"/>
  <c r="H50" i="67" s="1"/>
  <c r="F43" i="67"/>
  <c r="E43" i="67"/>
  <c r="D43" i="67"/>
  <c r="C43" i="67"/>
  <c r="G42" i="67"/>
  <c r="H42" i="67" s="1"/>
  <c r="G41" i="67"/>
  <c r="H41" i="67" s="1"/>
  <c r="J40" i="67"/>
  <c r="G40" i="67"/>
  <c r="H40" i="67" s="1"/>
  <c r="G39" i="67"/>
  <c r="J39" i="67" s="1"/>
  <c r="J38" i="67"/>
  <c r="G38" i="67"/>
  <c r="H38" i="67" s="1"/>
  <c r="G37" i="67"/>
  <c r="J36" i="67"/>
  <c r="G36" i="67"/>
  <c r="H36" i="67" s="1"/>
  <c r="G35" i="67"/>
  <c r="G34" i="67"/>
  <c r="J34" i="67" s="1"/>
  <c r="G33" i="67"/>
  <c r="H33" i="67" s="1"/>
  <c r="J32" i="67"/>
  <c r="G32" i="67"/>
  <c r="H32" i="67" s="1"/>
  <c r="G31" i="67"/>
  <c r="J31" i="67" s="1"/>
  <c r="G30" i="67"/>
  <c r="H30" i="67" s="1"/>
  <c r="J29" i="67"/>
  <c r="H29" i="67"/>
  <c r="G29" i="67"/>
  <c r="G28" i="67"/>
  <c r="J28" i="67" s="1"/>
  <c r="J27" i="67"/>
  <c r="G27" i="67"/>
  <c r="H27" i="67" s="1"/>
  <c r="G26" i="67"/>
  <c r="J26" i="67" s="1"/>
  <c r="G25" i="67"/>
  <c r="J25" i="67" s="1"/>
  <c r="G24" i="67"/>
  <c r="H24" i="67" s="1"/>
  <c r="J23" i="67"/>
  <c r="G23" i="67"/>
  <c r="H23" i="67" s="1"/>
  <c r="G22" i="67"/>
  <c r="J22" i="67" s="1"/>
  <c r="G21" i="67"/>
  <c r="H21" i="67" s="1"/>
  <c r="J20" i="67"/>
  <c r="H20" i="67"/>
  <c r="G20" i="67"/>
  <c r="G19" i="67"/>
  <c r="J19" i="67" s="1"/>
  <c r="J18" i="67"/>
  <c r="G18" i="67"/>
  <c r="H18" i="67" s="1"/>
  <c r="G17" i="67"/>
  <c r="J17" i="67" s="1"/>
  <c r="G16" i="67"/>
  <c r="J16" i="67" s="1"/>
  <c r="G15" i="67"/>
  <c r="H15" i="67" s="1"/>
  <c r="G14" i="67"/>
  <c r="H14" i="67" s="1"/>
  <c r="G13" i="67"/>
  <c r="J12" i="67"/>
  <c r="H12" i="67"/>
  <c r="G12" i="67"/>
  <c r="J11" i="67"/>
  <c r="H11" i="67"/>
  <c r="G11" i="67"/>
  <c r="G10" i="67"/>
  <c r="G43" i="67" s="1"/>
  <c r="J9" i="67"/>
  <c r="H9" i="67"/>
  <c r="G9" i="67"/>
  <c r="G63" i="66"/>
  <c r="G62" i="66"/>
  <c r="G61" i="66"/>
  <c r="G60" i="66"/>
  <c r="E55" i="66"/>
  <c r="D55" i="66"/>
  <c r="C55" i="66"/>
  <c r="E54" i="66"/>
  <c r="D54" i="66"/>
  <c r="C54" i="66"/>
  <c r="H48" i="66"/>
  <c r="G48" i="66"/>
  <c r="G47" i="66"/>
  <c r="H47" i="66" s="1"/>
  <c r="G46" i="66"/>
  <c r="H46" i="66" s="1"/>
  <c r="F39" i="66"/>
  <c r="E39" i="66"/>
  <c r="D39" i="66"/>
  <c r="C39" i="66"/>
  <c r="G38" i="66"/>
  <c r="G37" i="66"/>
  <c r="J37" i="66" s="1"/>
  <c r="H36" i="66"/>
  <c r="G36" i="66"/>
  <c r="G35" i="66"/>
  <c r="G34" i="66"/>
  <c r="H34" i="66" s="1"/>
  <c r="G33" i="66"/>
  <c r="H33" i="66" s="1"/>
  <c r="G32" i="66"/>
  <c r="H32" i="66" s="1"/>
  <c r="G31" i="66"/>
  <c r="H31" i="66" s="1"/>
  <c r="G30" i="66"/>
  <c r="H30" i="66" s="1"/>
  <c r="H29" i="66"/>
  <c r="G29" i="66"/>
  <c r="G28" i="66"/>
  <c r="H28" i="66" s="1"/>
  <c r="G27" i="66"/>
  <c r="G26" i="66"/>
  <c r="H26" i="66" s="1"/>
  <c r="G25" i="66"/>
  <c r="J25" i="66" s="1"/>
  <c r="G24" i="66"/>
  <c r="J24" i="66" s="1"/>
  <c r="G23" i="66"/>
  <c r="H23" i="66" s="1"/>
  <c r="G22" i="66"/>
  <c r="H21" i="66"/>
  <c r="G21" i="66"/>
  <c r="J21" i="66" s="1"/>
  <c r="G20" i="66"/>
  <c r="H20" i="66" s="1"/>
  <c r="J19" i="66"/>
  <c r="G19" i="66"/>
  <c r="H19" i="66" s="1"/>
  <c r="G18" i="66"/>
  <c r="J18" i="66" s="1"/>
  <c r="J17" i="66"/>
  <c r="G17" i="66"/>
  <c r="H17" i="66" s="1"/>
  <c r="G16" i="66"/>
  <c r="G15" i="66"/>
  <c r="J15" i="66" s="1"/>
  <c r="H14" i="66"/>
  <c r="G14" i="66"/>
  <c r="G13" i="66"/>
  <c r="J12" i="66"/>
  <c r="H12" i="66"/>
  <c r="G12" i="66"/>
  <c r="J11" i="66"/>
  <c r="H11" i="66"/>
  <c r="G11" i="66"/>
  <c r="J10" i="66"/>
  <c r="G10" i="66"/>
  <c r="H10" i="66" s="1"/>
  <c r="G9" i="66"/>
  <c r="G68" i="65"/>
  <c r="G67" i="65"/>
  <c r="G66" i="65"/>
  <c r="G65" i="65"/>
  <c r="E60" i="65"/>
  <c r="D60" i="65"/>
  <c r="C60" i="65"/>
  <c r="E59" i="65"/>
  <c r="D59" i="65"/>
  <c r="C59" i="65"/>
  <c r="G53" i="65"/>
  <c r="H53" i="65" s="1"/>
  <c r="G52" i="65"/>
  <c r="H52" i="65" s="1"/>
  <c r="H51" i="65"/>
  <c r="G51" i="65"/>
  <c r="F44" i="65"/>
  <c r="E44" i="65"/>
  <c r="D44" i="65"/>
  <c r="C44" i="65"/>
  <c r="G43" i="65"/>
  <c r="H43" i="65" s="1"/>
  <c r="J42" i="65"/>
  <c r="H42" i="65"/>
  <c r="G42" i="65"/>
  <c r="G41" i="65"/>
  <c r="J41" i="65" s="1"/>
  <c r="H40" i="65"/>
  <c r="G40" i="65"/>
  <c r="G39" i="65"/>
  <c r="J38" i="65"/>
  <c r="G38" i="65"/>
  <c r="H38" i="65" s="1"/>
  <c r="G37" i="65"/>
  <c r="G36" i="65"/>
  <c r="H36" i="65" s="1"/>
  <c r="G35" i="65"/>
  <c r="H35" i="65" s="1"/>
  <c r="G34" i="65"/>
  <c r="G33" i="65"/>
  <c r="H33" i="65" s="1"/>
  <c r="G32" i="65"/>
  <c r="J31" i="65"/>
  <c r="H31" i="65"/>
  <c r="G31" i="65"/>
  <c r="J30" i="65"/>
  <c r="H30" i="65"/>
  <c r="G30" i="65"/>
  <c r="G29" i="65"/>
  <c r="J28" i="65"/>
  <c r="H28" i="65"/>
  <c r="G28" i="65"/>
  <c r="H27" i="65"/>
  <c r="G27" i="65"/>
  <c r="J27" i="65" s="1"/>
  <c r="G26" i="65"/>
  <c r="J26" i="65" s="1"/>
  <c r="J25" i="65"/>
  <c r="H25" i="65"/>
  <c r="G25" i="65"/>
  <c r="H24" i="65"/>
  <c r="G24" i="65"/>
  <c r="J23" i="65"/>
  <c r="G23" i="65"/>
  <c r="H23" i="65" s="1"/>
  <c r="G22" i="65"/>
  <c r="G21" i="65"/>
  <c r="J21" i="65" s="1"/>
  <c r="G20" i="65"/>
  <c r="J19" i="65"/>
  <c r="G19" i="65"/>
  <c r="H19" i="65" s="1"/>
  <c r="G18" i="65"/>
  <c r="J18" i="65" s="1"/>
  <c r="G17" i="65"/>
  <c r="H17" i="65" s="1"/>
  <c r="J16" i="65"/>
  <c r="H16" i="65"/>
  <c r="G16" i="65"/>
  <c r="G15" i="65"/>
  <c r="J14" i="65"/>
  <c r="G14" i="65"/>
  <c r="H14" i="65" s="1"/>
  <c r="H13" i="65"/>
  <c r="G13" i="65"/>
  <c r="G12" i="65"/>
  <c r="J12" i="65" s="1"/>
  <c r="H11" i="65"/>
  <c r="G11" i="65"/>
  <c r="G10" i="65"/>
  <c r="H10" i="65" s="1"/>
  <c r="H9" i="65"/>
  <c r="G9" i="65"/>
  <c r="G65" i="64"/>
  <c r="G64" i="64"/>
  <c r="G63" i="64"/>
  <c r="G62" i="64"/>
  <c r="E57" i="64"/>
  <c r="D57" i="64"/>
  <c r="C57" i="64"/>
  <c r="E56" i="64"/>
  <c r="D56" i="64"/>
  <c r="C56" i="64"/>
  <c r="H50" i="64"/>
  <c r="G50" i="64"/>
  <c r="H49" i="64"/>
  <c r="G49" i="64"/>
  <c r="G48" i="64"/>
  <c r="H48" i="64" s="1"/>
  <c r="F41" i="64"/>
  <c r="E41" i="64"/>
  <c r="D41" i="64"/>
  <c r="C41" i="64"/>
  <c r="J40" i="64"/>
  <c r="H40" i="64"/>
  <c r="G40" i="64"/>
  <c r="J39" i="64"/>
  <c r="G39" i="64"/>
  <c r="H39" i="64" s="1"/>
  <c r="G38" i="64"/>
  <c r="H38" i="64" s="1"/>
  <c r="J37" i="64"/>
  <c r="G37" i="64"/>
  <c r="H37" i="64" s="1"/>
  <c r="H36" i="64"/>
  <c r="G36" i="64"/>
  <c r="J36" i="64" s="1"/>
  <c r="J35" i="64"/>
  <c r="G35" i="64"/>
  <c r="H35" i="64" s="1"/>
  <c r="J34" i="64"/>
  <c r="H34" i="64"/>
  <c r="G34" i="64"/>
  <c r="G33" i="64"/>
  <c r="J32" i="64"/>
  <c r="G32" i="64"/>
  <c r="H32" i="64" s="1"/>
  <c r="H31" i="64"/>
  <c r="G31" i="64"/>
  <c r="J30" i="64"/>
  <c r="G30" i="64"/>
  <c r="H30" i="64" s="1"/>
  <c r="G29" i="64"/>
  <c r="J29" i="64" s="1"/>
  <c r="G28" i="64"/>
  <c r="J27" i="64"/>
  <c r="G27" i="64"/>
  <c r="H27" i="64" s="1"/>
  <c r="J26" i="64"/>
  <c r="H26" i="64"/>
  <c r="G26" i="64"/>
  <c r="H25" i="64"/>
  <c r="G25" i="64"/>
  <c r="H24" i="64"/>
  <c r="G24" i="64"/>
  <c r="H23" i="64"/>
  <c r="G23" i="64"/>
  <c r="J23" i="64" s="1"/>
  <c r="G22" i="64"/>
  <c r="J21" i="64"/>
  <c r="H21" i="64"/>
  <c r="G21" i="64"/>
  <c r="G20" i="64"/>
  <c r="J19" i="64"/>
  <c r="G19" i="64"/>
  <c r="H19" i="64" s="1"/>
  <c r="G18" i="64"/>
  <c r="G17" i="64"/>
  <c r="J16" i="64"/>
  <c r="H16" i="64"/>
  <c r="G16" i="64"/>
  <c r="G15" i="64"/>
  <c r="J15" i="64" s="1"/>
  <c r="G14" i="64"/>
  <c r="J14" i="64" s="1"/>
  <c r="J13" i="64"/>
  <c r="H13" i="64"/>
  <c r="G13" i="64"/>
  <c r="G12" i="64"/>
  <c r="J12" i="64" s="1"/>
  <c r="J11" i="64"/>
  <c r="G11" i="64"/>
  <c r="G10" i="64"/>
  <c r="H10" i="64" s="1"/>
  <c r="G9" i="64"/>
  <c r="G72" i="63"/>
  <c r="G71" i="63"/>
  <c r="G70" i="63"/>
  <c r="G69" i="63"/>
  <c r="E64" i="63"/>
  <c r="D64" i="63"/>
  <c r="C64" i="63"/>
  <c r="E63" i="63"/>
  <c r="D63" i="63"/>
  <c r="C63" i="63"/>
  <c r="G57" i="63"/>
  <c r="H57" i="63" s="1"/>
  <c r="G56" i="63"/>
  <c r="H56" i="63" s="1"/>
  <c r="H55" i="63"/>
  <c r="G55" i="63"/>
  <c r="F48" i="63"/>
  <c r="E48" i="63"/>
  <c r="D48" i="63"/>
  <c r="C48" i="63"/>
  <c r="G47" i="63"/>
  <c r="H47" i="63" s="1"/>
  <c r="H46" i="63"/>
  <c r="G46" i="63"/>
  <c r="G45" i="63"/>
  <c r="H45" i="63" s="1"/>
  <c r="J44" i="63"/>
  <c r="H44" i="63"/>
  <c r="G44" i="63"/>
  <c r="G43" i="63"/>
  <c r="J42" i="63"/>
  <c r="G42" i="63"/>
  <c r="H42" i="63" s="1"/>
  <c r="G41" i="63"/>
  <c r="G40" i="63"/>
  <c r="J39" i="63"/>
  <c r="H39" i="63"/>
  <c r="G39" i="63"/>
  <c r="G38" i="63"/>
  <c r="J38" i="63" s="1"/>
  <c r="G37" i="63"/>
  <c r="J37" i="63" s="1"/>
  <c r="H36" i="63"/>
  <c r="G36" i="63"/>
  <c r="H35" i="63"/>
  <c r="G35" i="63"/>
  <c r="J34" i="63"/>
  <c r="G34" i="63"/>
  <c r="H34" i="63" s="1"/>
  <c r="G33" i="63"/>
  <c r="J33" i="63" s="1"/>
  <c r="G32" i="63"/>
  <c r="J31" i="63"/>
  <c r="G31" i="63"/>
  <c r="H31" i="63" s="1"/>
  <c r="J30" i="63"/>
  <c r="H30" i="63"/>
  <c r="G30" i="63"/>
  <c r="H29" i="63"/>
  <c r="G29" i="63"/>
  <c r="J28" i="63"/>
  <c r="G28" i="63"/>
  <c r="H28" i="63" s="1"/>
  <c r="G27" i="63"/>
  <c r="J27" i="63" s="1"/>
  <c r="G26" i="63"/>
  <c r="J25" i="63"/>
  <c r="G25" i="63"/>
  <c r="H25" i="63" s="1"/>
  <c r="J24" i="63"/>
  <c r="H24" i="63"/>
  <c r="G24" i="63"/>
  <c r="H23" i="63"/>
  <c r="G23" i="63"/>
  <c r="J22" i="63"/>
  <c r="G22" i="63"/>
  <c r="H22" i="63" s="1"/>
  <c r="G21" i="63"/>
  <c r="J21" i="63" s="1"/>
  <c r="G20" i="63"/>
  <c r="J19" i="63"/>
  <c r="G19" i="63"/>
  <c r="H19" i="63" s="1"/>
  <c r="J18" i="63"/>
  <c r="H18" i="63"/>
  <c r="G18" i="63"/>
  <c r="H17" i="63"/>
  <c r="G17" i="63"/>
  <c r="J16" i="63"/>
  <c r="G16" i="63"/>
  <c r="H16" i="63" s="1"/>
  <c r="G15" i="63"/>
  <c r="J15" i="63" s="1"/>
  <c r="G14" i="63"/>
  <c r="J13" i="63"/>
  <c r="G13" i="63"/>
  <c r="H13" i="63" s="1"/>
  <c r="J12" i="63"/>
  <c r="H12" i="63"/>
  <c r="G12" i="63"/>
  <c r="H11" i="63"/>
  <c r="G11" i="63"/>
  <c r="J10" i="63"/>
  <c r="G10" i="63"/>
  <c r="H10" i="63" s="1"/>
  <c r="G9" i="63"/>
  <c r="J9" i="63" s="1"/>
  <c r="G72" i="62"/>
  <c r="G71" i="62"/>
  <c r="G70" i="62"/>
  <c r="G69" i="62"/>
  <c r="E64" i="62"/>
  <c r="D64" i="62"/>
  <c r="C64" i="62"/>
  <c r="E63" i="62"/>
  <c r="D63" i="62"/>
  <c r="C63" i="62"/>
  <c r="G57" i="62"/>
  <c r="H57" i="62" s="1"/>
  <c r="G56" i="62"/>
  <c r="H56" i="62" s="1"/>
  <c r="H55" i="62"/>
  <c r="G55" i="62"/>
  <c r="F48" i="62"/>
  <c r="E48" i="62"/>
  <c r="D48" i="62"/>
  <c r="C48" i="62"/>
  <c r="G47" i="62"/>
  <c r="G46" i="62"/>
  <c r="H46" i="62" s="1"/>
  <c r="G45" i="62"/>
  <c r="G44" i="62"/>
  <c r="H44" i="62" s="1"/>
  <c r="G43" i="62"/>
  <c r="H42" i="62"/>
  <c r="G42" i="62"/>
  <c r="J41" i="62"/>
  <c r="G41" i="62"/>
  <c r="H41" i="62" s="1"/>
  <c r="H40" i="62"/>
  <c r="G40" i="62"/>
  <c r="J39" i="62"/>
  <c r="G39" i="62"/>
  <c r="H39" i="62" s="1"/>
  <c r="G38" i="62"/>
  <c r="H38" i="62" s="1"/>
  <c r="G37" i="62"/>
  <c r="G36" i="62"/>
  <c r="J36" i="62" s="1"/>
  <c r="J35" i="62"/>
  <c r="G35" i="62"/>
  <c r="H35" i="62" s="1"/>
  <c r="H34" i="62"/>
  <c r="G34" i="62"/>
  <c r="G33" i="62"/>
  <c r="J33" i="62" s="1"/>
  <c r="J32" i="62"/>
  <c r="G32" i="62"/>
  <c r="H32" i="62" s="1"/>
  <c r="G31" i="62"/>
  <c r="H31" i="62" s="1"/>
  <c r="G30" i="62"/>
  <c r="J30" i="62" s="1"/>
  <c r="J29" i="62"/>
  <c r="G29" i="62"/>
  <c r="H29" i="62" s="1"/>
  <c r="G28" i="62"/>
  <c r="G27" i="62"/>
  <c r="J27" i="62" s="1"/>
  <c r="J26" i="62"/>
  <c r="G26" i="62"/>
  <c r="H26" i="62" s="1"/>
  <c r="G25" i="62"/>
  <c r="G24" i="62"/>
  <c r="J24" i="62" s="1"/>
  <c r="G23" i="62"/>
  <c r="H23" i="62" s="1"/>
  <c r="H22" i="62"/>
  <c r="G22" i="62"/>
  <c r="G21" i="62"/>
  <c r="J21" i="62" s="1"/>
  <c r="G20" i="62"/>
  <c r="H20" i="62" s="1"/>
  <c r="G19" i="62"/>
  <c r="G18" i="62"/>
  <c r="J18" i="62" s="1"/>
  <c r="J17" i="62"/>
  <c r="G17" i="62"/>
  <c r="H17" i="62" s="1"/>
  <c r="H16" i="62"/>
  <c r="G16" i="62"/>
  <c r="G15" i="62"/>
  <c r="J15" i="62" s="1"/>
  <c r="J14" i="62"/>
  <c r="G14" i="62"/>
  <c r="H14" i="62" s="1"/>
  <c r="G13" i="62"/>
  <c r="H13" i="62" s="1"/>
  <c r="G12" i="62"/>
  <c r="J12" i="62" s="1"/>
  <c r="J11" i="62"/>
  <c r="G11" i="62"/>
  <c r="H11" i="62" s="1"/>
  <c r="G10" i="62"/>
  <c r="G48" i="62" s="1"/>
  <c r="G9" i="62"/>
  <c r="J9" i="62" s="1"/>
  <c r="G65" i="61"/>
  <c r="G64" i="61"/>
  <c r="G63" i="61"/>
  <c r="G62" i="61"/>
  <c r="E57" i="61"/>
  <c r="D57" i="61"/>
  <c r="C57" i="61"/>
  <c r="E56" i="61"/>
  <c r="D56" i="61"/>
  <c r="C56" i="61"/>
  <c r="G50" i="61"/>
  <c r="H50" i="61" s="1"/>
  <c r="G49" i="61"/>
  <c r="H49" i="61" s="1"/>
  <c r="G48" i="61"/>
  <c r="H48" i="61" s="1"/>
  <c r="F41" i="61"/>
  <c r="E41" i="61"/>
  <c r="D41" i="61"/>
  <c r="C41" i="61"/>
  <c r="H40" i="61"/>
  <c r="G40" i="61"/>
  <c r="G39" i="61"/>
  <c r="G38" i="61"/>
  <c r="J38" i="61" s="1"/>
  <c r="J37" i="61"/>
  <c r="G37" i="61"/>
  <c r="H37" i="61" s="1"/>
  <c r="H36" i="61"/>
  <c r="G36" i="61"/>
  <c r="G35" i="61"/>
  <c r="J35" i="61" s="1"/>
  <c r="J34" i="61"/>
  <c r="G34" i="61"/>
  <c r="H34" i="61" s="1"/>
  <c r="G33" i="61"/>
  <c r="H33" i="61" s="1"/>
  <c r="G32" i="61"/>
  <c r="J32" i="61" s="1"/>
  <c r="J31" i="61"/>
  <c r="G31" i="61"/>
  <c r="H31" i="61" s="1"/>
  <c r="G30" i="61"/>
  <c r="G29" i="61"/>
  <c r="J29" i="61" s="1"/>
  <c r="J28" i="61"/>
  <c r="G28" i="61"/>
  <c r="H28" i="61" s="1"/>
  <c r="G27" i="61"/>
  <c r="G26" i="61"/>
  <c r="J26" i="61" s="1"/>
  <c r="G25" i="61"/>
  <c r="H25" i="61" s="1"/>
  <c r="H24" i="61"/>
  <c r="G24" i="61"/>
  <c r="G23" i="61"/>
  <c r="J23" i="61" s="1"/>
  <c r="G22" i="61"/>
  <c r="H22" i="61" s="1"/>
  <c r="G21" i="61"/>
  <c r="G20" i="61"/>
  <c r="J20" i="61" s="1"/>
  <c r="J19" i="61"/>
  <c r="G19" i="61"/>
  <c r="H19" i="61" s="1"/>
  <c r="H18" i="61"/>
  <c r="G18" i="61"/>
  <c r="G17" i="61"/>
  <c r="J17" i="61" s="1"/>
  <c r="J16" i="61"/>
  <c r="G16" i="61"/>
  <c r="H16" i="61" s="1"/>
  <c r="G15" i="61"/>
  <c r="H15" i="61" s="1"/>
  <c r="G14" i="61"/>
  <c r="J14" i="61" s="1"/>
  <c r="J13" i="61"/>
  <c r="G13" i="61"/>
  <c r="H13" i="61" s="1"/>
  <c r="G12" i="61"/>
  <c r="G11" i="61"/>
  <c r="J11" i="61" s="1"/>
  <c r="J10" i="61"/>
  <c r="G10" i="61"/>
  <c r="H10" i="61" s="1"/>
  <c r="G9" i="61"/>
  <c r="G68" i="60"/>
  <c r="G67" i="60"/>
  <c r="G66" i="60"/>
  <c r="G65" i="60"/>
  <c r="E60" i="60"/>
  <c r="D60" i="60"/>
  <c r="C60" i="60"/>
  <c r="E59" i="60"/>
  <c r="D59" i="60"/>
  <c r="C59" i="60"/>
  <c r="G53" i="60"/>
  <c r="H53" i="60" s="1"/>
  <c r="G52" i="60"/>
  <c r="H52" i="60" s="1"/>
  <c r="G51" i="60"/>
  <c r="H51" i="60" s="1"/>
  <c r="F44" i="60"/>
  <c r="E44" i="60"/>
  <c r="D44" i="60"/>
  <c r="C44" i="60"/>
  <c r="G43" i="60"/>
  <c r="J42" i="60"/>
  <c r="H42" i="60"/>
  <c r="G42" i="60"/>
  <c r="H41" i="60"/>
  <c r="G41" i="60"/>
  <c r="G40" i="60"/>
  <c r="J40" i="60" s="1"/>
  <c r="J39" i="60"/>
  <c r="G39" i="60"/>
  <c r="H39" i="60" s="1"/>
  <c r="G38" i="60"/>
  <c r="H38" i="60" s="1"/>
  <c r="H37" i="60"/>
  <c r="G37" i="60"/>
  <c r="J36" i="60"/>
  <c r="H36" i="60"/>
  <c r="G36" i="60"/>
  <c r="G35" i="60"/>
  <c r="J34" i="60"/>
  <c r="H34" i="60"/>
  <c r="G34" i="60"/>
  <c r="J33" i="60"/>
  <c r="H33" i="60"/>
  <c r="G33" i="60"/>
  <c r="J32" i="60"/>
  <c r="G32" i="60"/>
  <c r="J31" i="60"/>
  <c r="H31" i="60"/>
  <c r="G31" i="60"/>
  <c r="J30" i="60"/>
  <c r="H30" i="60"/>
  <c r="G30" i="60"/>
  <c r="G29" i="60"/>
  <c r="J28" i="60"/>
  <c r="H28" i="60"/>
  <c r="G28" i="60"/>
  <c r="J27" i="60"/>
  <c r="H27" i="60"/>
  <c r="G27" i="60"/>
  <c r="J26" i="60"/>
  <c r="G26" i="60"/>
  <c r="J25" i="60"/>
  <c r="H25" i="60"/>
  <c r="G25" i="60"/>
  <c r="J24" i="60"/>
  <c r="H24" i="60"/>
  <c r="G24" i="60"/>
  <c r="J23" i="60"/>
  <c r="H23" i="60"/>
  <c r="G23" i="60"/>
  <c r="J22" i="60"/>
  <c r="H22" i="60"/>
  <c r="G22" i="60"/>
  <c r="J21" i="60"/>
  <c r="H21" i="60"/>
  <c r="G21" i="60"/>
  <c r="G20" i="60"/>
  <c r="J20" i="60" s="1"/>
  <c r="J19" i="60"/>
  <c r="H19" i="60"/>
  <c r="G19" i="60"/>
  <c r="J18" i="60"/>
  <c r="H18" i="60"/>
  <c r="G18" i="60"/>
  <c r="J17" i="60"/>
  <c r="H17" i="60"/>
  <c r="G17" i="60"/>
  <c r="J16" i="60"/>
  <c r="H16" i="60"/>
  <c r="G16" i="60"/>
  <c r="J15" i="60"/>
  <c r="G15" i="60"/>
  <c r="H15" i="60" s="1"/>
  <c r="J14" i="60"/>
  <c r="H14" i="60"/>
  <c r="G14" i="60"/>
  <c r="J13" i="60"/>
  <c r="G13" i="60"/>
  <c r="H13" i="60" s="1"/>
  <c r="J12" i="60"/>
  <c r="H12" i="60"/>
  <c r="G12" i="60"/>
  <c r="H11" i="60"/>
  <c r="G11" i="60"/>
  <c r="J11" i="60" s="1"/>
  <c r="J10" i="60"/>
  <c r="G10" i="60"/>
  <c r="H10" i="60" s="1"/>
  <c r="J9" i="60"/>
  <c r="H9" i="60"/>
  <c r="G9" i="60"/>
  <c r="G64" i="59"/>
  <c r="G63" i="59"/>
  <c r="G62" i="59"/>
  <c r="G61" i="59"/>
  <c r="E56" i="59"/>
  <c r="D56" i="59"/>
  <c r="C56" i="59"/>
  <c r="E55" i="59"/>
  <c r="D55" i="59"/>
  <c r="C55" i="59"/>
  <c r="H49" i="59"/>
  <c r="G49" i="59"/>
  <c r="G48" i="59"/>
  <c r="H48" i="59" s="1"/>
  <c r="H47" i="59"/>
  <c r="G47" i="59"/>
  <c r="F40" i="59"/>
  <c r="E40" i="59"/>
  <c r="D40" i="59"/>
  <c r="C40" i="59"/>
  <c r="G39" i="59"/>
  <c r="G38" i="59"/>
  <c r="H37" i="59"/>
  <c r="G37" i="59"/>
  <c r="H36" i="59"/>
  <c r="G36" i="59"/>
  <c r="J36" i="59" s="1"/>
  <c r="G35" i="59"/>
  <c r="H35" i="59" s="1"/>
  <c r="H34" i="59"/>
  <c r="G34" i="59"/>
  <c r="G33" i="59"/>
  <c r="H33" i="59" s="1"/>
  <c r="G32" i="59"/>
  <c r="J32" i="59" s="1"/>
  <c r="G31" i="59"/>
  <c r="J30" i="59"/>
  <c r="G30" i="59"/>
  <c r="H30" i="59" s="1"/>
  <c r="H29" i="59"/>
  <c r="G29" i="59"/>
  <c r="J28" i="59"/>
  <c r="G28" i="59"/>
  <c r="H28" i="59" s="1"/>
  <c r="J27" i="59"/>
  <c r="H27" i="59"/>
  <c r="G27" i="59"/>
  <c r="H26" i="59"/>
  <c r="G26" i="59"/>
  <c r="J26" i="59" s="1"/>
  <c r="J25" i="59"/>
  <c r="G25" i="59"/>
  <c r="H25" i="59" s="1"/>
  <c r="J24" i="59"/>
  <c r="H24" i="59"/>
  <c r="G24" i="59"/>
  <c r="H23" i="59"/>
  <c r="G23" i="59"/>
  <c r="J23" i="59" s="1"/>
  <c r="J22" i="59"/>
  <c r="G22" i="59"/>
  <c r="H22" i="59" s="1"/>
  <c r="J21" i="59"/>
  <c r="H21" i="59"/>
  <c r="G21" i="59"/>
  <c r="H20" i="59"/>
  <c r="G20" i="59"/>
  <c r="J20" i="59" s="1"/>
  <c r="G19" i="59"/>
  <c r="H19" i="59" s="1"/>
  <c r="H18" i="59"/>
  <c r="G18" i="59"/>
  <c r="J17" i="59"/>
  <c r="G17" i="59"/>
  <c r="H17" i="59" s="1"/>
  <c r="J16" i="59"/>
  <c r="H16" i="59"/>
  <c r="G16" i="59"/>
  <c r="H15" i="59"/>
  <c r="G15" i="59"/>
  <c r="J15" i="59" s="1"/>
  <c r="J14" i="59"/>
  <c r="G14" i="59"/>
  <c r="H14" i="59" s="1"/>
  <c r="J13" i="59"/>
  <c r="H13" i="59"/>
  <c r="G13" i="59"/>
  <c r="H12" i="59"/>
  <c r="G12" i="59"/>
  <c r="J12" i="59" s="1"/>
  <c r="J11" i="59"/>
  <c r="G11" i="59"/>
  <c r="H11" i="59" s="1"/>
  <c r="J10" i="59"/>
  <c r="H10" i="59"/>
  <c r="G10" i="59"/>
  <c r="H9" i="59"/>
  <c r="G9" i="59"/>
  <c r="J9" i="59" s="1"/>
  <c r="G63" i="58"/>
  <c r="G62" i="58"/>
  <c r="G61" i="58"/>
  <c r="G60" i="58"/>
  <c r="E55" i="58"/>
  <c r="D55" i="58"/>
  <c r="C55" i="58"/>
  <c r="E54" i="58"/>
  <c r="D54" i="58"/>
  <c r="C54" i="58"/>
  <c r="H48" i="58"/>
  <c r="G48" i="58"/>
  <c r="H47" i="58"/>
  <c r="G47" i="58"/>
  <c r="G46" i="58"/>
  <c r="H46" i="58" s="1"/>
  <c r="F39" i="58"/>
  <c r="E39" i="58"/>
  <c r="D39" i="58"/>
  <c r="C39" i="58"/>
  <c r="G38" i="58"/>
  <c r="H37" i="58"/>
  <c r="G37" i="58"/>
  <c r="H36" i="58"/>
  <c r="G36" i="58"/>
  <c r="J36" i="58" s="1"/>
  <c r="J35" i="58"/>
  <c r="G35" i="58"/>
  <c r="H35" i="58" s="1"/>
  <c r="G34" i="58"/>
  <c r="G33" i="58"/>
  <c r="J32" i="58"/>
  <c r="G32" i="58"/>
  <c r="H32" i="58" s="1"/>
  <c r="G31" i="58"/>
  <c r="J31" i="58" s="1"/>
  <c r="G30" i="58"/>
  <c r="J29" i="58"/>
  <c r="G29" i="58"/>
  <c r="H29" i="58" s="1"/>
  <c r="G28" i="58"/>
  <c r="J28" i="58" s="1"/>
  <c r="G27" i="58"/>
  <c r="J26" i="58"/>
  <c r="G26" i="58"/>
  <c r="H26" i="58" s="1"/>
  <c r="G25" i="58"/>
  <c r="J25" i="58" s="1"/>
  <c r="G24" i="58"/>
  <c r="J23" i="58"/>
  <c r="G23" i="58"/>
  <c r="H23" i="58" s="1"/>
  <c r="G22" i="58"/>
  <c r="J22" i="58" s="1"/>
  <c r="G21" i="58"/>
  <c r="H20" i="58"/>
  <c r="G20" i="58"/>
  <c r="H19" i="58"/>
  <c r="G19" i="58"/>
  <c r="J19" i="58" s="1"/>
  <c r="J18" i="58"/>
  <c r="G18" i="58"/>
  <c r="H18" i="58" s="1"/>
  <c r="J17" i="58"/>
  <c r="H17" i="58"/>
  <c r="G17" i="58"/>
  <c r="H16" i="58"/>
  <c r="G16" i="58"/>
  <c r="J16" i="58" s="1"/>
  <c r="J15" i="58"/>
  <c r="G15" i="58"/>
  <c r="H15" i="58" s="1"/>
  <c r="J14" i="58"/>
  <c r="H14" i="58"/>
  <c r="G14" i="58"/>
  <c r="H13" i="58"/>
  <c r="G13" i="58"/>
  <c r="J13" i="58" s="1"/>
  <c r="J12" i="58"/>
  <c r="G12" i="58"/>
  <c r="H12" i="58" s="1"/>
  <c r="J11" i="58"/>
  <c r="H11" i="58"/>
  <c r="G11" i="58"/>
  <c r="H10" i="58"/>
  <c r="G10" i="58"/>
  <c r="J10" i="58" s="1"/>
  <c r="J9" i="58"/>
  <c r="G9" i="58"/>
  <c r="H9" i="58" s="1"/>
  <c r="G51" i="57"/>
  <c r="G50" i="57"/>
  <c r="G49" i="57"/>
  <c r="G48" i="57"/>
  <c r="E43" i="57"/>
  <c r="D43" i="57"/>
  <c r="C43" i="57"/>
  <c r="E42" i="57"/>
  <c r="D42" i="57"/>
  <c r="C42" i="57"/>
  <c r="G36" i="57"/>
  <c r="H36" i="57" s="1"/>
  <c r="H35" i="57"/>
  <c r="G35" i="57"/>
  <c r="H34" i="57"/>
  <c r="G34" i="57"/>
  <c r="F27" i="57"/>
  <c r="E27" i="57"/>
  <c r="D27" i="57"/>
  <c r="C27" i="57"/>
  <c r="J26" i="57"/>
  <c r="G26" i="57"/>
  <c r="H26" i="57" s="1"/>
  <c r="J25" i="57"/>
  <c r="H25" i="57"/>
  <c r="G25" i="57"/>
  <c r="G24" i="57"/>
  <c r="H23" i="57"/>
  <c r="G23" i="57"/>
  <c r="G22" i="57"/>
  <c r="H21" i="57"/>
  <c r="G21" i="57"/>
  <c r="H20" i="57"/>
  <c r="G20" i="57"/>
  <c r="J20" i="57" s="1"/>
  <c r="J19" i="57"/>
  <c r="G19" i="57"/>
  <c r="H19" i="57" s="1"/>
  <c r="J18" i="57"/>
  <c r="H18" i="57"/>
  <c r="G18" i="57"/>
  <c r="H17" i="57"/>
  <c r="G17" i="57"/>
  <c r="J17" i="57" s="1"/>
  <c r="J16" i="57"/>
  <c r="G16" i="57"/>
  <c r="H16" i="57" s="1"/>
  <c r="J15" i="57"/>
  <c r="H15" i="57"/>
  <c r="G15" i="57"/>
  <c r="H14" i="57"/>
  <c r="G14" i="57"/>
  <c r="J14" i="57" s="1"/>
  <c r="J13" i="57"/>
  <c r="G13" i="57"/>
  <c r="H13" i="57" s="1"/>
  <c r="J12" i="57"/>
  <c r="H12" i="57"/>
  <c r="G12" i="57"/>
  <c r="H11" i="57"/>
  <c r="G11" i="57"/>
  <c r="J11" i="57" s="1"/>
  <c r="J10" i="57"/>
  <c r="G10" i="57"/>
  <c r="H10" i="57" s="1"/>
  <c r="J9" i="57"/>
  <c r="H9" i="57"/>
  <c r="G9" i="57"/>
  <c r="G27" i="57" s="1"/>
  <c r="G67" i="56"/>
  <c r="G66" i="56"/>
  <c r="G65" i="56"/>
  <c r="G64" i="56"/>
  <c r="E59" i="56"/>
  <c r="D59" i="56"/>
  <c r="C59" i="56"/>
  <c r="E58" i="56"/>
  <c r="D58" i="56"/>
  <c r="C58" i="56"/>
  <c r="H52" i="56"/>
  <c r="G52" i="56"/>
  <c r="G51" i="56"/>
  <c r="H51" i="56" s="1"/>
  <c r="H50" i="56"/>
  <c r="G50" i="56"/>
  <c r="F43" i="56"/>
  <c r="E43" i="56"/>
  <c r="D43" i="56"/>
  <c r="C43" i="56"/>
  <c r="J42" i="56"/>
  <c r="H42" i="56"/>
  <c r="G42" i="56"/>
  <c r="H41" i="56"/>
  <c r="G41" i="56"/>
  <c r="J41" i="56" s="1"/>
  <c r="J40" i="56"/>
  <c r="G40" i="56"/>
  <c r="H40" i="56" s="1"/>
  <c r="J39" i="56"/>
  <c r="H39" i="56"/>
  <c r="G39" i="56"/>
  <c r="H38" i="56"/>
  <c r="G38" i="56"/>
  <c r="J38" i="56" s="1"/>
  <c r="J37" i="56"/>
  <c r="G37" i="56"/>
  <c r="H37" i="56" s="1"/>
  <c r="J36" i="56"/>
  <c r="H36" i="56"/>
  <c r="G36" i="56"/>
  <c r="H35" i="56"/>
  <c r="G35" i="56"/>
  <c r="J35" i="56" s="1"/>
  <c r="J34" i="56"/>
  <c r="G34" i="56"/>
  <c r="H34" i="56" s="1"/>
  <c r="J33" i="56"/>
  <c r="H33" i="56"/>
  <c r="G33" i="56"/>
  <c r="H32" i="56"/>
  <c r="G32" i="56"/>
  <c r="J32" i="56" s="1"/>
  <c r="J31" i="56"/>
  <c r="G31" i="56"/>
  <c r="H31" i="56" s="1"/>
  <c r="J30" i="56"/>
  <c r="H30" i="56"/>
  <c r="G30" i="56"/>
  <c r="H29" i="56"/>
  <c r="G29" i="56"/>
  <c r="J29" i="56" s="1"/>
  <c r="J28" i="56"/>
  <c r="G28" i="56"/>
  <c r="H28" i="56" s="1"/>
  <c r="J27" i="56"/>
  <c r="H27" i="56"/>
  <c r="G27" i="56"/>
  <c r="H26" i="56"/>
  <c r="G26" i="56"/>
  <c r="J26" i="56" s="1"/>
  <c r="J25" i="56"/>
  <c r="G25" i="56"/>
  <c r="H25" i="56" s="1"/>
  <c r="J24" i="56"/>
  <c r="H24" i="56"/>
  <c r="G24" i="56"/>
  <c r="H23" i="56"/>
  <c r="G23" i="56"/>
  <c r="J23" i="56" s="1"/>
  <c r="J22" i="56"/>
  <c r="G22" i="56"/>
  <c r="H22" i="56" s="1"/>
  <c r="J21" i="56"/>
  <c r="H21" i="56"/>
  <c r="G21" i="56"/>
  <c r="H20" i="56"/>
  <c r="G20" i="56"/>
  <c r="J20" i="56" s="1"/>
  <c r="J19" i="56"/>
  <c r="G19" i="56"/>
  <c r="H19" i="56" s="1"/>
  <c r="G18" i="56"/>
  <c r="G17" i="56"/>
  <c r="J16" i="56"/>
  <c r="G16" i="56"/>
  <c r="H16" i="56" s="1"/>
  <c r="G15" i="56"/>
  <c r="J15" i="56" s="1"/>
  <c r="G14" i="56"/>
  <c r="J13" i="56"/>
  <c r="G13" i="56"/>
  <c r="H13" i="56" s="1"/>
  <c r="G12" i="56"/>
  <c r="J12" i="56" s="1"/>
  <c r="G11" i="56"/>
  <c r="H10" i="56"/>
  <c r="G10" i="56"/>
  <c r="G9" i="56"/>
  <c r="G68" i="55"/>
  <c r="G67" i="55"/>
  <c r="G66" i="55"/>
  <c r="G65" i="55"/>
  <c r="E60" i="55"/>
  <c r="D60" i="55"/>
  <c r="C60" i="55"/>
  <c r="E59" i="55"/>
  <c r="D59" i="55"/>
  <c r="C59" i="55"/>
  <c r="G53" i="55"/>
  <c r="H53" i="55" s="1"/>
  <c r="G52" i="55"/>
  <c r="H52" i="55" s="1"/>
  <c r="G51" i="55"/>
  <c r="H51" i="55" s="1"/>
  <c r="F44" i="55"/>
  <c r="E44" i="55"/>
  <c r="D44" i="55"/>
  <c r="C44" i="55"/>
  <c r="G43" i="55"/>
  <c r="H43" i="55" s="1"/>
  <c r="J42" i="55"/>
  <c r="H42" i="55"/>
  <c r="G42" i="55"/>
  <c r="G41" i="55"/>
  <c r="J40" i="55"/>
  <c r="G40" i="55"/>
  <c r="H40" i="55" s="1"/>
  <c r="G39" i="55"/>
  <c r="J39" i="55" s="1"/>
  <c r="G38" i="55"/>
  <c r="H37" i="55"/>
  <c r="G37" i="55"/>
  <c r="H36" i="55"/>
  <c r="G36" i="55"/>
  <c r="J36" i="55" s="1"/>
  <c r="J35" i="55"/>
  <c r="G35" i="55"/>
  <c r="H35" i="55" s="1"/>
  <c r="J34" i="55"/>
  <c r="H34" i="55"/>
  <c r="G34" i="55"/>
  <c r="H33" i="55"/>
  <c r="G33" i="55"/>
  <c r="J33" i="55" s="1"/>
  <c r="J32" i="55"/>
  <c r="G32" i="55"/>
  <c r="H32" i="55" s="1"/>
  <c r="J31" i="55"/>
  <c r="H31" i="55"/>
  <c r="G31" i="55"/>
  <c r="H30" i="55"/>
  <c r="G30" i="55"/>
  <c r="J30" i="55" s="1"/>
  <c r="J29" i="55"/>
  <c r="G29" i="55"/>
  <c r="H29" i="55" s="1"/>
  <c r="J28" i="55"/>
  <c r="H28" i="55"/>
  <c r="G28" i="55"/>
  <c r="H27" i="55"/>
  <c r="G27" i="55"/>
  <c r="J27" i="55" s="1"/>
  <c r="J26" i="55"/>
  <c r="G26" i="55"/>
  <c r="H26" i="55" s="1"/>
  <c r="J25" i="55"/>
  <c r="H25" i="55"/>
  <c r="G25" i="55"/>
  <c r="H24" i="55"/>
  <c r="G24" i="55"/>
  <c r="J24" i="55" s="1"/>
  <c r="J23" i="55"/>
  <c r="G23" i="55"/>
  <c r="H23" i="55" s="1"/>
  <c r="G22" i="55"/>
  <c r="G21" i="55"/>
  <c r="J20" i="55"/>
  <c r="G20" i="55"/>
  <c r="H20" i="55" s="1"/>
  <c r="G19" i="55"/>
  <c r="J19" i="55" s="1"/>
  <c r="G18" i="55"/>
  <c r="J17" i="55"/>
  <c r="G17" i="55"/>
  <c r="H17" i="55" s="1"/>
  <c r="H16" i="55"/>
  <c r="G16" i="55"/>
  <c r="J15" i="55"/>
  <c r="G15" i="55"/>
  <c r="H15" i="55" s="1"/>
  <c r="J14" i="55"/>
  <c r="H14" i="55"/>
  <c r="G14" i="55"/>
  <c r="H13" i="55"/>
  <c r="G13" i="55"/>
  <c r="J13" i="55" s="1"/>
  <c r="J12" i="55"/>
  <c r="G12" i="55"/>
  <c r="H12" i="55" s="1"/>
  <c r="J11" i="55"/>
  <c r="H11" i="55"/>
  <c r="G11" i="55"/>
  <c r="H10" i="55"/>
  <c r="G10" i="55"/>
  <c r="J10" i="55" s="1"/>
  <c r="J9" i="55"/>
  <c r="G9" i="55"/>
  <c r="G44" i="55" s="1"/>
  <c r="G64" i="54"/>
  <c r="G63" i="54"/>
  <c r="G62" i="54"/>
  <c r="G61" i="54"/>
  <c r="E56" i="54"/>
  <c r="D56" i="54"/>
  <c r="C56" i="54"/>
  <c r="E55" i="54"/>
  <c r="D55" i="54"/>
  <c r="C55" i="54"/>
  <c r="G49" i="54"/>
  <c r="H49" i="54" s="1"/>
  <c r="H48" i="54"/>
  <c r="G48" i="54"/>
  <c r="H47" i="54"/>
  <c r="G47" i="54"/>
  <c r="F40" i="54"/>
  <c r="E40" i="54"/>
  <c r="D40" i="54"/>
  <c r="C40" i="54"/>
  <c r="G39" i="54"/>
  <c r="H39" i="54" s="1"/>
  <c r="H38" i="54"/>
  <c r="G38" i="54"/>
  <c r="J37" i="54"/>
  <c r="G37" i="54"/>
  <c r="H37" i="54" s="1"/>
  <c r="G36" i="54"/>
  <c r="G35" i="54"/>
  <c r="H34" i="54"/>
  <c r="G34" i="54"/>
  <c r="H33" i="54"/>
  <c r="G33" i="54"/>
  <c r="J33" i="54" s="1"/>
  <c r="J32" i="54"/>
  <c r="G32" i="54"/>
  <c r="H32" i="54" s="1"/>
  <c r="J31" i="54"/>
  <c r="H31" i="54"/>
  <c r="G31" i="54"/>
  <c r="H30" i="54"/>
  <c r="G30" i="54"/>
  <c r="J30" i="54" s="1"/>
  <c r="J29" i="54"/>
  <c r="G29" i="54"/>
  <c r="H29" i="54" s="1"/>
  <c r="J28" i="54"/>
  <c r="H28" i="54"/>
  <c r="G28" i="54"/>
  <c r="G27" i="54"/>
  <c r="J26" i="54"/>
  <c r="G26" i="54"/>
  <c r="H26" i="54" s="1"/>
  <c r="G25" i="54"/>
  <c r="J25" i="54" s="1"/>
  <c r="G24" i="54"/>
  <c r="J23" i="54"/>
  <c r="H23" i="54"/>
  <c r="G23" i="54"/>
  <c r="G22" i="54"/>
  <c r="J22" i="54" s="1"/>
  <c r="G21" i="54"/>
  <c r="J20" i="54"/>
  <c r="G20" i="54"/>
  <c r="H20" i="54" s="1"/>
  <c r="G19" i="54"/>
  <c r="J19" i="54" s="1"/>
  <c r="G18" i="54"/>
  <c r="J17" i="54"/>
  <c r="H17" i="54"/>
  <c r="G17" i="54"/>
  <c r="G16" i="54"/>
  <c r="J16" i="54" s="1"/>
  <c r="G15" i="54"/>
  <c r="J14" i="54"/>
  <c r="H14" i="54"/>
  <c r="G14" i="54"/>
  <c r="G13" i="54"/>
  <c r="J13" i="54" s="1"/>
  <c r="G12" i="54"/>
  <c r="J11" i="54"/>
  <c r="H11" i="54"/>
  <c r="G11" i="54"/>
  <c r="G10" i="54"/>
  <c r="J10" i="54" s="1"/>
  <c r="G9" i="54"/>
  <c r="G64" i="53"/>
  <c r="G63" i="53"/>
  <c r="G62" i="53"/>
  <c r="G61" i="53"/>
  <c r="E56" i="53"/>
  <c r="D56" i="53"/>
  <c r="C56" i="53"/>
  <c r="E55" i="53"/>
  <c r="D55" i="53"/>
  <c r="C55" i="53"/>
  <c r="G49" i="53"/>
  <c r="H49" i="53" s="1"/>
  <c r="G48" i="53"/>
  <c r="H48" i="53" s="1"/>
  <c r="G47" i="53"/>
  <c r="H47" i="53" s="1"/>
  <c r="F40" i="53"/>
  <c r="E40" i="53"/>
  <c r="D40" i="53"/>
  <c r="C40" i="53"/>
  <c r="G39" i="53"/>
  <c r="H39" i="53" s="1"/>
  <c r="G38" i="53"/>
  <c r="G37" i="53"/>
  <c r="J36" i="53"/>
  <c r="G36" i="53"/>
  <c r="H36" i="53" s="1"/>
  <c r="H35" i="53"/>
  <c r="G35" i="53"/>
  <c r="J34" i="53"/>
  <c r="G34" i="53"/>
  <c r="H34" i="53" s="1"/>
  <c r="J33" i="53"/>
  <c r="H33" i="53"/>
  <c r="G33" i="53"/>
  <c r="H32" i="53"/>
  <c r="G32" i="53"/>
  <c r="J32" i="53" s="1"/>
  <c r="J31" i="53"/>
  <c r="G31" i="53"/>
  <c r="H31" i="53" s="1"/>
  <c r="J30" i="53"/>
  <c r="H30" i="53"/>
  <c r="G30" i="53"/>
  <c r="H29" i="53"/>
  <c r="G29" i="53"/>
  <c r="J29" i="53" s="1"/>
  <c r="J28" i="53"/>
  <c r="G28" i="53"/>
  <c r="H28" i="53" s="1"/>
  <c r="J27" i="53"/>
  <c r="H27" i="53"/>
  <c r="G27" i="53"/>
  <c r="J26" i="53"/>
  <c r="H26" i="53"/>
  <c r="G26" i="53"/>
  <c r="J25" i="53"/>
  <c r="H25" i="53"/>
  <c r="G25" i="53"/>
  <c r="J24" i="53"/>
  <c r="H24" i="53"/>
  <c r="G24" i="53"/>
  <c r="J23" i="53"/>
  <c r="H23" i="53"/>
  <c r="G23" i="53"/>
  <c r="J22" i="53"/>
  <c r="H22" i="53"/>
  <c r="G22" i="53"/>
  <c r="J21" i="53"/>
  <c r="H21" i="53"/>
  <c r="G21" i="53"/>
  <c r="J20" i="53"/>
  <c r="H20" i="53"/>
  <c r="G20" i="53"/>
  <c r="J19" i="53"/>
  <c r="H19" i="53"/>
  <c r="G19" i="53"/>
  <c r="J18" i="53"/>
  <c r="H18" i="53"/>
  <c r="G18" i="53"/>
  <c r="J17" i="53"/>
  <c r="H17" i="53"/>
  <c r="G17" i="53"/>
  <c r="J16" i="53"/>
  <c r="H16" i="53"/>
  <c r="G16" i="53"/>
  <c r="J15" i="53"/>
  <c r="H15" i="53"/>
  <c r="G15" i="53"/>
  <c r="J14" i="53"/>
  <c r="H14" i="53"/>
  <c r="G14" i="53"/>
  <c r="J13" i="53"/>
  <c r="H13" i="53"/>
  <c r="G13" i="53"/>
  <c r="J12" i="53"/>
  <c r="H12" i="53"/>
  <c r="G12" i="53"/>
  <c r="J11" i="53"/>
  <c r="H11" i="53"/>
  <c r="G11" i="53"/>
  <c r="J10" i="53"/>
  <c r="H10" i="53"/>
  <c r="G10" i="53"/>
  <c r="J9" i="53"/>
  <c r="H9" i="53"/>
  <c r="G9" i="53"/>
  <c r="G40" i="53" s="1"/>
  <c r="G63" i="52"/>
  <c r="G62" i="52"/>
  <c r="G61" i="52"/>
  <c r="G60" i="52"/>
  <c r="E55" i="52"/>
  <c r="D55" i="52"/>
  <c r="C55" i="52"/>
  <c r="E54" i="52"/>
  <c r="D54" i="52"/>
  <c r="C54" i="52"/>
  <c r="H48" i="52"/>
  <c r="G48" i="52"/>
  <c r="G47" i="52"/>
  <c r="H47" i="52" s="1"/>
  <c r="H46" i="52"/>
  <c r="G46" i="52"/>
  <c r="F39" i="52"/>
  <c r="E39" i="52"/>
  <c r="E40" i="52" s="1"/>
  <c r="D39" i="52"/>
  <c r="D40" i="52" s="1"/>
  <c r="C39" i="52"/>
  <c r="C40" i="52" s="1"/>
  <c r="G38" i="52"/>
  <c r="I38" i="52" s="1"/>
  <c r="G37" i="52"/>
  <c r="H37" i="52" s="1"/>
  <c r="J36" i="52"/>
  <c r="H36" i="52"/>
  <c r="G36" i="52"/>
  <c r="I36" i="52" s="1"/>
  <c r="G35" i="52"/>
  <c r="I35" i="52" s="1"/>
  <c r="G34" i="52"/>
  <c r="J34" i="52" s="1"/>
  <c r="G33" i="52"/>
  <c r="J33" i="52" s="1"/>
  <c r="G32" i="52"/>
  <c r="H31" i="52"/>
  <c r="G31" i="52"/>
  <c r="J31" i="52" s="1"/>
  <c r="G30" i="52"/>
  <c r="J30" i="52" s="1"/>
  <c r="G29" i="52"/>
  <c r="I29" i="52" s="1"/>
  <c r="J28" i="52"/>
  <c r="H28" i="52"/>
  <c r="G28" i="52"/>
  <c r="G27" i="52"/>
  <c r="J27" i="52" s="1"/>
  <c r="G26" i="52"/>
  <c r="I26" i="52" s="1"/>
  <c r="J25" i="52"/>
  <c r="H25" i="52"/>
  <c r="G25" i="52"/>
  <c r="G24" i="52"/>
  <c r="J24" i="52" s="1"/>
  <c r="G23" i="52"/>
  <c r="I23" i="52" s="1"/>
  <c r="J22" i="52"/>
  <c r="H22" i="52"/>
  <c r="G22" i="52"/>
  <c r="H21" i="52"/>
  <c r="G21" i="52"/>
  <c r="I21" i="52" s="1"/>
  <c r="J20" i="52"/>
  <c r="G20" i="52"/>
  <c r="H20" i="52" s="1"/>
  <c r="J19" i="52"/>
  <c r="H19" i="52"/>
  <c r="G19" i="52"/>
  <c r="H18" i="52"/>
  <c r="G18" i="52"/>
  <c r="J18" i="52" s="1"/>
  <c r="J17" i="52"/>
  <c r="G17" i="52"/>
  <c r="H17" i="52" s="1"/>
  <c r="J16" i="52"/>
  <c r="H16" i="52"/>
  <c r="G16" i="52"/>
  <c r="H15" i="52"/>
  <c r="G15" i="52"/>
  <c r="J15" i="52" s="1"/>
  <c r="J14" i="52"/>
  <c r="G14" i="52"/>
  <c r="H14" i="52" s="1"/>
  <c r="J13" i="52"/>
  <c r="H13" i="52"/>
  <c r="G13" i="52"/>
  <c r="H12" i="52"/>
  <c r="G12" i="52"/>
  <c r="J12" i="52" s="1"/>
  <c r="J11" i="52"/>
  <c r="G11" i="52"/>
  <c r="H11" i="52" s="1"/>
  <c r="J10" i="52"/>
  <c r="H10" i="52"/>
  <c r="G10" i="52"/>
  <c r="I10" i="52" s="1"/>
  <c r="J9" i="52"/>
  <c r="H9" i="52"/>
  <c r="G9" i="52"/>
  <c r="G39" i="52" s="1"/>
  <c r="G63" i="51"/>
  <c r="G62" i="51"/>
  <c r="G61" i="51"/>
  <c r="G60" i="51"/>
  <c r="E55" i="51"/>
  <c r="D55" i="51"/>
  <c r="C55" i="51"/>
  <c r="E54" i="51"/>
  <c r="D54" i="51"/>
  <c r="C54" i="51"/>
  <c r="H48" i="51"/>
  <c r="G48" i="51"/>
  <c r="H47" i="51"/>
  <c r="G47" i="51"/>
  <c r="G46" i="51"/>
  <c r="H46" i="51" s="1"/>
  <c r="F39" i="51"/>
  <c r="E39" i="51"/>
  <c r="E40" i="51" s="1"/>
  <c r="D39" i="51"/>
  <c r="C39" i="51"/>
  <c r="G38" i="51"/>
  <c r="I38" i="51" s="1"/>
  <c r="H37" i="51"/>
  <c r="G37" i="51"/>
  <c r="H36" i="51"/>
  <c r="G36" i="51"/>
  <c r="J36" i="51" s="1"/>
  <c r="J35" i="51"/>
  <c r="H35" i="51"/>
  <c r="G35" i="51"/>
  <c r="I35" i="51" s="1"/>
  <c r="J34" i="51"/>
  <c r="H34" i="51"/>
  <c r="G34" i="51"/>
  <c r="J33" i="51"/>
  <c r="H33" i="51"/>
  <c r="G33" i="51"/>
  <c r="I33" i="51" s="1"/>
  <c r="J32" i="51"/>
  <c r="H32" i="51"/>
  <c r="G32" i="51"/>
  <c r="J31" i="51"/>
  <c r="H31" i="51"/>
  <c r="G31" i="51"/>
  <c r="I31" i="51" s="1"/>
  <c r="J30" i="51"/>
  <c r="H30" i="51"/>
  <c r="G30" i="51"/>
  <c r="G29" i="51"/>
  <c r="H29" i="51" s="1"/>
  <c r="G28" i="51"/>
  <c r="J28" i="51" s="1"/>
  <c r="G27" i="51"/>
  <c r="I27" i="51" s="1"/>
  <c r="G26" i="51"/>
  <c r="J26" i="51" s="1"/>
  <c r="G25" i="51"/>
  <c r="J25" i="51" s="1"/>
  <c r="H24" i="51"/>
  <c r="G24" i="51"/>
  <c r="J23" i="51"/>
  <c r="H23" i="51"/>
  <c r="G23" i="51"/>
  <c r="J22" i="51"/>
  <c r="H22" i="51"/>
  <c r="G22" i="51"/>
  <c r="J21" i="51"/>
  <c r="H21" i="51"/>
  <c r="G21" i="51"/>
  <c r="J20" i="51"/>
  <c r="H20" i="51"/>
  <c r="G20" i="51"/>
  <c r="J19" i="51"/>
  <c r="H19" i="51"/>
  <c r="G19" i="51"/>
  <c r="J18" i="51"/>
  <c r="H18" i="51"/>
  <c r="G18" i="51"/>
  <c r="J17" i="51"/>
  <c r="H17" i="51"/>
  <c r="G17" i="51"/>
  <c r="J16" i="51"/>
  <c r="H16" i="51"/>
  <c r="G16" i="51"/>
  <c r="J15" i="51"/>
  <c r="H15" i="51"/>
  <c r="G15" i="51"/>
  <c r="J14" i="51"/>
  <c r="H14" i="51"/>
  <c r="G14" i="51"/>
  <c r="J13" i="51"/>
  <c r="H13" i="51"/>
  <c r="G13" i="51"/>
  <c r="J12" i="51"/>
  <c r="H12" i="51"/>
  <c r="G12" i="51"/>
  <c r="J11" i="51"/>
  <c r="H11" i="51"/>
  <c r="G11" i="51"/>
  <c r="J10" i="51"/>
  <c r="H10" i="51"/>
  <c r="G10" i="51"/>
  <c r="J9" i="51"/>
  <c r="H9" i="51"/>
  <c r="G9" i="51"/>
  <c r="G39" i="51" s="1"/>
  <c r="G67" i="50"/>
  <c r="G66" i="50"/>
  <c r="G65" i="50"/>
  <c r="G64" i="50"/>
  <c r="E59" i="50"/>
  <c r="D59" i="50"/>
  <c r="C59" i="50"/>
  <c r="E58" i="50"/>
  <c r="D58" i="50"/>
  <c r="C58" i="50"/>
  <c r="H52" i="50"/>
  <c r="G52" i="50"/>
  <c r="H51" i="50"/>
  <c r="G51" i="50"/>
  <c r="H50" i="50"/>
  <c r="G50" i="50"/>
  <c r="F43" i="50"/>
  <c r="E43" i="50"/>
  <c r="D43" i="50"/>
  <c r="C43" i="50"/>
  <c r="G42" i="50"/>
  <c r="H42" i="50" s="1"/>
  <c r="G41" i="50"/>
  <c r="J41" i="50" s="1"/>
  <c r="G40" i="50"/>
  <c r="H40" i="50" s="1"/>
  <c r="J39" i="50"/>
  <c r="H39" i="50"/>
  <c r="G39" i="50"/>
  <c r="H38" i="50"/>
  <c r="G38" i="50"/>
  <c r="J38" i="50" s="1"/>
  <c r="J37" i="50"/>
  <c r="G37" i="50"/>
  <c r="H37" i="50" s="1"/>
  <c r="J36" i="50"/>
  <c r="H36" i="50"/>
  <c r="G36" i="50"/>
  <c r="H35" i="50"/>
  <c r="G35" i="50"/>
  <c r="J35" i="50" s="1"/>
  <c r="J34" i="50"/>
  <c r="G34" i="50"/>
  <c r="H34" i="50" s="1"/>
  <c r="J33" i="50"/>
  <c r="H33" i="50"/>
  <c r="G33" i="50"/>
  <c r="J32" i="50"/>
  <c r="H32" i="50"/>
  <c r="G32" i="50"/>
  <c r="J31" i="50"/>
  <c r="H31" i="50"/>
  <c r="G31" i="50"/>
  <c r="J30" i="50"/>
  <c r="H30" i="50"/>
  <c r="G30" i="50"/>
  <c r="J29" i="50"/>
  <c r="H29" i="50"/>
  <c r="G29" i="50"/>
  <c r="J28" i="50"/>
  <c r="H28" i="50"/>
  <c r="G28" i="50"/>
  <c r="J27" i="50"/>
  <c r="H27" i="50"/>
  <c r="G27" i="50"/>
  <c r="J26" i="50"/>
  <c r="H26" i="50"/>
  <c r="G26" i="50"/>
  <c r="J25" i="50"/>
  <c r="H25" i="50"/>
  <c r="G25" i="50"/>
  <c r="J24" i="50"/>
  <c r="H24" i="50"/>
  <c r="G24" i="50"/>
  <c r="J23" i="50"/>
  <c r="H23" i="50"/>
  <c r="G23" i="50"/>
  <c r="J22" i="50"/>
  <c r="H22" i="50"/>
  <c r="G22" i="50"/>
  <c r="J21" i="50"/>
  <c r="H21" i="50"/>
  <c r="G21" i="50"/>
  <c r="J20" i="50"/>
  <c r="H20" i="50"/>
  <c r="G20" i="50"/>
  <c r="J19" i="50"/>
  <c r="H19" i="50"/>
  <c r="G19" i="50"/>
  <c r="J18" i="50"/>
  <c r="H18" i="50"/>
  <c r="G18" i="50"/>
  <c r="J17" i="50"/>
  <c r="H17" i="50"/>
  <c r="G17" i="50"/>
  <c r="J16" i="50"/>
  <c r="H16" i="50"/>
  <c r="G16" i="50"/>
  <c r="J15" i="50"/>
  <c r="H15" i="50"/>
  <c r="G15" i="50"/>
  <c r="J14" i="50"/>
  <c r="H14" i="50"/>
  <c r="G14" i="50"/>
  <c r="J13" i="50"/>
  <c r="H13" i="50"/>
  <c r="G13" i="50"/>
  <c r="J12" i="50"/>
  <c r="H12" i="50"/>
  <c r="G12" i="50"/>
  <c r="J11" i="50"/>
  <c r="H11" i="50"/>
  <c r="G11" i="50"/>
  <c r="J10" i="50"/>
  <c r="H10" i="50"/>
  <c r="G10" i="50"/>
  <c r="J9" i="50"/>
  <c r="H9" i="50"/>
  <c r="G9" i="50"/>
  <c r="G43" i="50" s="1"/>
  <c r="G64" i="49"/>
  <c r="G63" i="49"/>
  <c r="G62" i="49"/>
  <c r="G61" i="49"/>
  <c r="E56" i="49"/>
  <c r="D56" i="49"/>
  <c r="C56" i="49"/>
  <c r="E55" i="49"/>
  <c r="D55" i="49"/>
  <c r="C55" i="49"/>
  <c r="H49" i="49"/>
  <c r="G49" i="49"/>
  <c r="H48" i="49"/>
  <c r="G48" i="49"/>
  <c r="H47" i="49"/>
  <c r="G47" i="49"/>
  <c r="F40" i="49"/>
  <c r="E40" i="49"/>
  <c r="D40" i="49"/>
  <c r="C40" i="49"/>
  <c r="G39" i="49"/>
  <c r="G38" i="49"/>
  <c r="H38" i="49" s="1"/>
  <c r="H37" i="49"/>
  <c r="G37" i="49"/>
  <c r="J37" i="49" s="1"/>
  <c r="H36" i="49"/>
  <c r="G36" i="49"/>
  <c r="J36" i="49" s="1"/>
  <c r="H35" i="49"/>
  <c r="G35" i="49"/>
  <c r="H34" i="49"/>
  <c r="G34" i="49"/>
  <c r="J33" i="49"/>
  <c r="G33" i="49"/>
  <c r="H33" i="49" s="1"/>
  <c r="J32" i="49"/>
  <c r="H32" i="49"/>
  <c r="G32" i="49"/>
  <c r="H31" i="49"/>
  <c r="G31" i="49"/>
  <c r="J31" i="49" s="1"/>
  <c r="J30" i="49"/>
  <c r="G30" i="49"/>
  <c r="H30" i="49" s="1"/>
  <c r="J29" i="49"/>
  <c r="H29" i="49"/>
  <c r="G29" i="49"/>
  <c r="G28" i="49"/>
  <c r="H28" i="49" s="1"/>
  <c r="J27" i="49"/>
  <c r="H27" i="49"/>
  <c r="G27" i="49"/>
  <c r="H26" i="49"/>
  <c r="G26" i="49"/>
  <c r="J26" i="49" s="1"/>
  <c r="G25" i="49"/>
  <c r="H25" i="49" s="1"/>
  <c r="J24" i="49"/>
  <c r="H24" i="49"/>
  <c r="G24" i="49"/>
  <c r="H23" i="49"/>
  <c r="G23" i="49"/>
  <c r="J23" i="49" s="1"/>
  <c r="G22" i="49"/>
  <c r="H22" i="49" s="1"/>
  <c r="J21" i="49"/>
  <c r="H21" i="49"/>
  <c r="G21" i="49"/>
  <c r="G20" i="49"/>
  <c r="J19" i="49"/>
  <c r="G19" i="49"/>
  <c r="H19" i="49" s="1"/>
  <c r="J18" i="49"/>
  <c r="G18" i="49"/>
  <c r="H18" i="49" s="1"/>
  <c r="G17" i="49"/>
  <c r="J16" i="49"/>
  <c r="G16" i="49"/>
  <c r="H16" i="49" s="1"/>
  <c r="J15" i="49"/>
  <c r="G15" i="49"/>
  <c r="H15" i="49" s="1"/>
  <c r="G14" i="49"/>
  <c r="J13" i="49"/>
  <c r="G13" i="49"/>
  <c r="H13" i="49" s="1"/>
  <c r="J12" i="49"/>
  <c r="G12" i="49"/>
  <c r="H12" i="49" s="1"/>
  <c r="G11" i="49"/>
  <c r="J10" i="49"/>
  <c r="G10" i="49"/>
  <c r="H10" i="49" s="1"/>
  <c r="J9" i="49"/>
  <c r="G9" i="49"/>
  <c r="G72" i="48"/>
  <c r="G71" i="48"/>
  <c r="G70" i="48"/>
  <c r="G69" i="48"/>
  <c r="E64" i="48"/>
  <c r="D64" i="48"/>
  <c r="C64" i="48"/>
  <c r="E63" i="48"/>
  <c r="D63" i="48"/>
  <c r="C63" i="48"/>
  <c r="G57" i="48"/>
  <c r="H57" i="48" s="1"/>
  <c r="G56" i="48"/>
  <c r="H56" i="48" s="1"/>
  <c r="G55" i="48"/>
  <c r="H55" i="48" s="1"/>
  <c r="F48" i="48"/>
  <c r="E48" i="48"/>
  <c r="D48" i="48"/>
  <c r="C48" i="48"/>
  <c r="H47" i="48"/>
  <c r="G47" i="48"/>
  <c r="G46" i="48"/>
  <c r="H46" i="48" s="1"/>
  <c r="G45" i="48"/>
  <c r="H45" i="48" s="1"/>
  <c r="G44" i="48"/>
  <c r="H44" i="48" s="1"/>
  <c r="G43" i="48"/>
  <c r="H43" i="48" s="1"/>
  <c r="G42" i="48"/>
  <c r="J41" i="48"/>
  <c r="G41" i="48"/>
  <c r="H41" i="48" s="1"/>
  <c r="J40" i="48"/>
  <c r="G40" i="48"/>
  <c r="H40" i="48" s="1"/>
  <c r="G39" i="48"/>
  <c r="H39" i="48" s="1"/>
  <c r="J38" i="48"/>
  <c r="H38" i="48"/>
  <c r="G38" i="48"/>
  <c r="H37" i="48"/>
  <c r="G37" i="48"/>
  <c r="J37" i="48" s="1"/>
  <c r="G36" i="48"/>
  <c r="H36" i="48" s="1"/>
  <c r="J35" i="48"/>
  <c r="H35" i="48"/>
  <c r="G35" i="48"/>
  <c r="H34" i="48"/>
  <c r="G34" i="48"/>
  <c r="J34" i="48" s="1"/>
  <c r="G33" i="48"/>
  <c r="H33" i="48" s="1"/>
  <c r="J32" i="48"/>
  <c r="H32" i="48"/>
  <c r="G32" i="48"/>
  <c r="H31" i="48"/>
  <c r="G31" i="48"/>
  <c r="J31" i="48" s="1"/>
  <c r="G30" i="48"/>
  <c r="H30" i="48" s="1"/>
  <c r="J29" i="48"/>
  <c r="H29" i="48"/>
  <c r="G29" i="48"/>
  <c r="H28" i="48"/>
  <c r="G28" i="48"/>
  <c r="J28" i="48" s="1"/>
  <c r="G27" i="48"/>
  <c r="H27" i="48" s="1"/>
  <c r="G26" i="48"/>
  <c r="H26" i="48" s="1"/>
  <c r="G25" i="48"/>
  <c r="J24" i="48"/>
  <c r="G24" i="48"/>
  <c r="H24" i="48" s="1"/>
  <c r="J23" i="48"/>
  <c r="G23" i="48"/>
  <c r="H23" i="48" s="1"/>
  <c r="G22" i="48"/>
  <c r="J21" i="48"/>
  <c r="G21" i="48"/>
  <c r="H21" i="48" s="1"/>
  <c r="J20" i="48"/>
  <c r="G20" i="48"/>
  <c r="H20" i="48" s="1"/>
  <c r="G19" i="48"/>
  <c r="J18" i="48"/>
  <c r="G18" i="48"/>
  <c r="H18" i="48" s="1"/>
  <c r="J17" i="48"/>
  <c r="G17" i="48"/>
  <c r="H17" i="48" s="1"/>
  <c r="G16" i="48"/>
  <c r="J15" i="48"/>
  <c r="G15" i="48"/>
  <c r="H15" i="48" s="1"/>
  <c r="J14" i="48"/>
  <c r="G14" i="48"/>
  <c r="H14" i="48" s="1"/>
  <c r="G13" i="48"/>
  <c r="J12" i="48"/>
  <c r="G12" i="48"/>
  <c r="H12" i="48" s="1"/>
  <c r="J11" i="48"/>
  <c r="G11" i="48"/>
  <c r="H11" i="48" s="1"/>
  <c r="G10" i="48"/>
  <c r="J9" i="48"/>
  <c r="G9" i="48"/>
  <c r="H9" i="48" s="1"/>
  <c r="G72" i="47"/>
  <c r="G71" i="47"/>
  <c r="G70" i="47"/>
  <c r="G69" i="47"/>
  <c r="E64" i="47"/>
  <c r="D64" i="47"/>
  <c r="C64" i="47"/>
  <c r="E63" i="47"/>
  <c r="D63" i="47"/>
  <c r="C63" i="47"/>
  <c r="G57" i="47"/>
  <c r="H57" i="47" s="1"/>
  <c r="G56" i="47"/>
  <c r="H56" i="47" s="1"/>
  <c r="G55" i="47"/>
  <c r="H55" i="47" s="1"/>
  <c r="F48" i="47"/>
  <c r="F49" i="47" s="1"/>
  <c r="E48" i="47"/>
  <c r="E49" i="47" s="1"/>
  <c r="D48" i="47"/>
  <c r="D49" i="47" s="1"/>
  <c r="C48" i="47"/>
  <c r="C49" i="47" s="1"/>
  <c r="J47" i="47"/>
  <c r="G47" i="47"/>
  <c r="H47" i="47" s="1"/>
  <c r="J46" i="47"/>
  <c r="G46" i="47"/>
  <c r="H46" i="47" s="1"/>
  <c r="G45" i="47"/>
  <c r="I45" i="47" s="1"/>
  <c r="H44" i="47"/>
  <c r="G44" i="47"/>
  <c r="G43" i="47"/>
  <c r="I43" i="47" s="1"/>
  <c r="H42" i="47"/>
  <c r="G42" i="47"/>
  <c r="H41" i="47"/>
  <c r="G41" i="47"/>
  <c r="J41" i="47" s="1"/>
  <c r="G40" i="47"/>
  <c r="H40" i="47" s="1"/>
  <c r="J39" i="47"/>
  <c r="G39" i="47"/>
  <c r="H39" i="47" s="1"/>
  <c r="G38" i="47"/>
  <c r="I38" i="47" s="1"/>
  <c r="J37" i="47"/>
  <c r="G37" i="47"/>
  <c r="H37" i="47" s="1"/>
  <c r="J36" i="47"/>
  <c r="G36" i="47"/>
  <c r="H36" i="47" s="1"/>
  <c r="G35" i="47"/>
  <c r="I35" i="47" s="1"/>
  <c r="J34" i="47"/>
  <c r="G34" i="47"/>
  <c r="H34" i="47" s="1"/>
  <c r="J33" i="47"/>
  <c r="G33" i="47"/>
  <c r="H33" i="47" s="1"/>
  <c r="G32" i="47"/>
  <c r="H32" i="47" s="1"/>
  <c r="J31" i="47"/>
  <c r="H31" i="47"/>
  <c r="G31" i="47"/>
  <c r="H30" i="47"/>
  <c r="G30" i="47"/>
  <c r="J30" i="47" s="1"/>
  <c r="G29" i="47"/>
  <c r="H29" i="47" s="1"/>
  <c r="J28" i="47"/>
  <c r="G28" i="47"/>
  <c r="H28" i="47" s="1"/>
  <c r="G27" i="47"/>
  <c r="I27" i="47" s="1"/>
  <c r="J26" i="47"/>
  <c r="G26" i="47"/>
  <c r="H26" i="47" s="1"/>
  <c r="J25" i="47"/>
  <c r="G25" i="47"/>
  <c r="H25" i="47" s="1"/>
  <c r="G24" i="47"/>
  <c r="I24" i="47" s="1"/>
  <c r="J23" i="47"/>
  <c r="G23" i="47"/>
  <c r="H23" i="47" s="1"/>
  <c r="J22" i="47"/>
  <c r="G22" i="47"/>
  <c r="H22" i="47" s="1"/>
  <c r="G21" i="47"/>
  <c r="I21" i="47" s="1"/>
  <c r="J20" i="47"/>
  <c r="G20" i="47"/>
  <c r="H20" i="47" s="1"/>
  <c r="H19" i="47"/>
  <c r="G19" i="47"/>
  <c r="G18" i="47"/>
  <c r="H18" i="47" s="1"/>
  <c r="J17" i="47"/>
  <c r="H17" i="47"/>
  <c r="G17" i="47"/>
  <c r="H16" i="47"/>
  <c r="G16" i="47"/>
  <c r="J16" i="47" s="1"/>
  <c r="G15" i="47"/>
  <c r="H15" i="47" s="1"/>
  <c r="J14" i="47"/>
  <c r="H14" i="47"/>
  <c r="G14" i="47"/>
  <c r="H13" i="47"/>
  <c r="G13" i="47"/>
  <c r="J13" i="47" s="1"/>
  <c r="G12" i="47"/>
  <c r="H12" i="47" s="1"/>
  <c r="H11" i="47"/>
  <c r="G11" i="47"/>
  <c r="G10" i="47"/>
  <c r="H10" i="47" s="1"/>
  <c r="H9" i="47"/>
  <c r="G9" i="47"/>
  <c r="G48" i="47" s="1"/>
  <c r="G67" i="46"/>
  <c r="G66" i="46"/>
  <c r="G65" i="46"/>
  <c r="G64" i="46"/>
  <c r="E59" i="46"/>
  <c r="D59" i="46"/>
  <c r="C59" i="46"/>
  <c r="E58" i="46"/>
  <c r="D58" i="46"/>
  <c r="C58" i="46"/>
  <c r="H52" i="46"/>
  <c r="G52" i="46"/>
  <c r="H51" i="46"/>
  <c r="G51" i="46"/>
  <c r="G50" i="46"/>
  <c r="H50" i="46" s="1"/>
  <c r="F43" i="46"/>
  <c r="E43" i="46"/>
  <c r="D43" i="46"/>
  <c r="C43" i="46"/>
  <c r="H42" i="46"/>
  <c r="G42" i="46"/>
  <c r="J42" i="46" s="1"/>
  <c r="G41" i="46"/>
  <c r="H41" i="46" s="1"/>
  <c r="J40" i="46"/>
  <c r="H40" i="46"/>
  <c r="G40" i="46"/>
  <c r="H39" i="46"/>
  <c r="G39" i="46"/>
  <c r="J39" i="46" s="1"/>
  <c r="G38" i="46"/>
  <c r="H38" i="46" s="1"/>
  <c r="J37" i="46"/>
  <c r="H37" i="46"/>
  <c r="G37" i="46"/>
  <c r="H36" i="46"/>
  <c r="G36" i="46"/>
  <c r="J36" i="46" s="1"/>
  <c r="G35" i="46"/>
  <c r="H35" i="46" s="1"/>
  <c r="J34" i="46"/>
  <c r="H34" i="46"/>
  <c r="G34" i="46"/>
  <c r="H33" i="46"/>
  <c r="G33" i="46"/>
  <c r="J33" i="46" s="1"/>
  <c r="G32" i="46"/>
  <c r="H32" i="46" s="1"/>
  <c r="J31" i="46"/>
  <c r="H31" i="46"/>
  <c r="G31" i="46"/>
  <c r="H30" i="46"/>
  <c r="G30" i="46"/>
  <c r="J30" i="46" s="1"/>
  <c r="G29" i="46"/>
  <c r="H29" i="46" s="1"/>
  <c r="J28" i="46"/>
  <c r="H28" i="46"/>
  <c r="G28" i="46"/>
  <c r="H27" i="46"/>
  <c r="G27" i="46"/>
  <c r="J27" i="46" s="1"/>
  <c r="G26" i="46"/>
  <c r="H26" i="46" s="1"/>
  <c r="J25" i="46"/>
  <c r="H25" i="46"/>
  <c r="G25" i="46"/>
  <c r="H24" i="46"/>
  <c r="G24" i="46"/>
  <c r="J24" i="46" s="1"/>
  <c r="G23" i="46"/>
  <c r="H23" i="46" s="1"/>
  <c r="J22" i="46"/>
  <c r="H22" i="46"/>
  <c r="G22" i="46"/>
  <c r="H21" i="46"/>
  <c r="G21" i="46"/>
  <c r="J21" i="46" s="1"/>
  <c r="G20" i="46"/>
  <c r="H20" i="46" s="1"/>
  <c r="J19" i="46"/>
  <c r="H19" i="46"/>
  <c r="G19" i="46"/>
  <c r="H18" i="46"/>
  <c r="G18" i="46"/>
  <c r="J18" i="46" s="1"/>
  <c r="G17" i="46"/>
  <c r="H17" i="46" s="1"/>
  <c r="J16" i="46"/>
  <c r="H16" i="46"/>
  <c r="G16" i="46"/>
  <c r="H15" i="46"/>
  <c r="G15" i="46"/>
  <c r="J15" i="46" s="1"/>
  <c r="G14" i="46"/>
  <c r="H14" i="46" s="1"/>
  <c r="J13" i="46"/>
  <c r="H13" i="46"/>
  <c r="G13" i="46"/>
  <c r="G12" i="46"/>
  <c r="H11" i="46"/>
  <c r="G11" i="46"/>
  <c r="G10" i="46"/>
  <c r="H9" i="46"/>
  <c r="G9" i="46"/>
  <c r="G67" i="45"/>
  <c r="G66" i="45"/>
  <c r="G65" i="45"/>
  <c r="G64" i="45"/>
  <c r="E59" i="45"/>
  <c r="D59" i="45"/>
  <c r="C59" i="45"/>
  <c r="E58" i="45"/>
  <c r="D58" i="45"/>
  <c r="C58" i="45"/>
  <c r="H52" i="45"/>
  <c r="G52" i="45"/>
  <c r="G51" i="45"/>
  <c r="H51" i="45" s="1"/>
  <c r="H50" i="45"/>
  <c r="G50" i="45"/>
  <c r="F43" i="45"/>
  <c r="E43" i="45"/>
  <c r="D43" i="45"/>
  <c r="C43" i="45"/>
  <c r="J42" i="45"/>
  <c r="H42" i="45"/>
  <c r="G42" i="45"/>
  <c r="H41" i="45"/>
  <c r="G41" i="45"/>
  <c r="J41" i="45" s="1"/>
  <c r="G40" i="45"/>
  <c r="H40" i="45" s="1"/>
  <c r="J39" i="45"/>
  <c r="H39" i="45"/>
  <c r="G39" i="45"/>
  <c r="G38" i="45"/>
  <c r="H37" i="45"/>
  <c r="G37" i="45"/>
  <c r="H36" i="45"/>
  <c r="G36" i="45"/>
  <c r="J35" i="45"/>
  <c r="G35" i="45"/>
  <c r="H35" i="45" s="1"/>
  <c r="J34" i="45"/>
  <c r="G34" i="45"/>
  <c r="H34" i="45" s="1"/>
  <c r="H33" i="45"/>
  <c r="G33" i="45"/>
  <c r="J32" i="45"/>
  <c r="G32" i="45"/>
  <c r="H32" i="45" s="1"/>
  <c r="J31" i="45"/>
  <c r="G31" i="45"/>
  <c r="H31" i="45" s="1"/>
  <c r="G30" i="45"/>
  <c r="H30" i="45" s="1"/>
  <c r="J29" i="45"/>
  <c r="G29" i="45"/>
  <c r="H29" i="45" s="1"/>
  <c r="H28" i="45"/>
  <c r="G28" i="45"/>
  <c r="G27" i="45"/>
  <c r="J26" i="45"/>
  <c r="H26" i="45"/>
  <c r="G26" i="45"/>
  <c r="H25" i="45"/>
  <c r="G25" i="45"/>
  <c r="J25" i="45" s="1"/>
  <c r="G24" i="45"/>
  <c r="J23" i="45"/>
  <c r="H23" i="45"/>
  <c r="G23" i="45"/>
  <c r="H22" i="45"/>
  <c r="G22" i="45"/>
  <c r="J22" i="45" s="1"/>
  <c r="G21" i="45"/>
  <c r="J20" i="45"/>
  <c r="H20" i="45"/>
  <c r="G20" i="45"/>
  <c r="H19" i="45"/>
  <c r="G19" i="45"/>
  <c r="J19" i="45" s="1"/>
  <c r="G18" i="45"/>
  <c r="J17" i="45"/>
  <c r="H17" i="45"/>
  <c r="G17" i="45"/>
  <c r="H16" i="45"/>
  <c r="G16" i="45"/>
  <c r="J16" i="45" s="1"/>
  <c r="G15" i="45"/>
  <c r="J14" i="45"/>
  <c r="H14" i="45"/>
  <c r="G14" i="45"/>
  <c r="H13" i="45"/>
  <c r="G13" i="45"/>
  <c r="J13" i="45" s="1"/>
  <c r="G12" i="45"/>
  <c r="G11" i="45"/>
  <c r="H11" i="45" s="1"/>
  <c r="G10" i="45"/>
  <c r="G9" i="45"/>
  <c r="G72" i="44"/>
  <c r="G71" i="44"/>
  <c r="G70" i="44"/>
  <c r="G69" i="44"/>
  <c r="E64" i="44"/>
  <c r="D64" i="44"/>
  <c r="C64" i="44"/>
  <c r="E63" i="44"/>
  <c r="D63" i="44"/>
  <c r="C63" i="44"/>
  <c r="G57" i="44"/>
  <c r="H57" i="44" s="1"/>
  <c r="G56" i="44"/>
  <c r="H56" i="44" s="1"/>
  <c r="G55" i="44"/>
  <c r="H55" i="44" s="1"/>
  <c r="F48" i="44"/>
  <c r="E48" i="44"/>
  <c r="D48" i="44"/>
  <c r="C48" i="44"/>
  <c r="H47" i="44"/>
  <c r="G47" i="44"/>
  <c r="G46" i="44"/>
  <c r="H46" i="44" s="1"/>
  <c r="G45" i="44"/>
  <c r="H45" i="44" s="1"/>
  <c r="H44" i="44"/>
  <c r="G44" i="44"/>
  <c r="J43" i="44"/>
  <c r="G43" i="44"/>
  <c r="H43" i="44" s="1"/>
  <c r="J42" i="44"/>
  <c r="G42" i="44"/>
  <c r="H42" i="44" s="1"/>
  <c r="H41" i="44"/>
  <c r="G41" i="44"/>
  <c r="H40" i="44"/>
  <c r="G40" i="44"/>
  <c r="H39" i="44"/>
  <c r="G39" i="44"/>
  <c r="H38" i="44"/>
  <c r="G38" i="44"/>
  <c r="G37" i="44"/>
  <c r="J36" i="44"/>
  <c r="G36" i="44"/>
  <c r="H36" i="44" s="1"/>
  <c r="G35" i="44"/>
  <c r="H35" i="44" s="1"/>
  <c r="H34" i="44"/>
  <c r="G34" i="44"/>
  <c r="J33" i="44"/>
  <c r="G33" i="44"/>
  <c r="H33" i="44" s="1"/>
  <c r="J32" i="44"/>
  <c r="G32" i="44"/>
  <c r="H32" i="44" s="1"/>
  <c r="H31" i="44"/>
  <c r="G31" i="44"/>
  <c r="J30" i="44"/>
  <c r="G30" i="44"/>
  <c r="H30" i="44" s="1"/>
  <c r="H29" i="44"/>
  <c r="G29" i="44"/>
  <c r="G28" i="44"/>
  <c r="J27" i="44"/>
  <c r="H27" i="44"/>
  <c r="G27" i="44"/>
  <c r="H26" i="44"/>
  <c r="G26" i="44"/>
  <c r="J26" i="44" s="1"/>
  <c r="J25" i="44"/>
  <c r="G25" i="44"/>
  <c r="J24" i="44"/>
  <c r="H24" i="44"/>
  <c r="G24" i="44"/>
  <c r="H23" i="44"/>
  <c r="G23" i="44"/>
  <c r="J23" i="44" s="1"/>
  <c r="J22" i="44"/>
  <c r="G22" i="44"/>
  <c r="J21" i="44"/>
  <c r="H21" i="44"/>
  <c r="G21" i="44"/>
  <c r="H20" i="44"/>
  <c r="G20" i="44"/>
  <c r="J20" i="44" s="1"/>
  <c r="G19" i="44"/>
  <c r="J18" i="44"/>
  <c r="H18" i="44"/>
  <c r="G18" i="44"/>
  <c r="H17" i="44"/>
  <c r="G17" i="44"/>
  <c r="J17" i="44" s="1"/>
  <c r="G16" i="44"/>
  <c r="H16" i="44" s="1"/>
  <c r="J15" i="44"/>
  <c r="G15" i="44"/>
  <c r="H15" i="44" s="1"/>
  <c r="G14" i="44"/>
  <c r="J13" i="44"/>
  <c r="G13" i="44"/>
  <c r="H13" i="44" s="1"/>
  <c r="G12" i="44"/>
  <c r="H12" i="44" s="1"/>
  <c r="H11" i="44"/>
  <c r="G11" i="44"/>
  <c r="J10" i="44"/>
  <c r="G10" i="44"/>
  <c r="H10" i="44" s="1"/>
  <c r="J9" i="44"/>
  <c r="G9" i="44"/>
  <c r="H9" i="44" s="1"/>
  <c r="G63" i="43"/>
  <c r="G62" i="43"/>
  <c r="G61" i="43"/>
  <c r="G60" i="43"/>
  <c r="E55" i="43"/>
  <c r="D55" i="43"/>
  <c r="C55" i="43"/>
  <c r="E54" i="43"/>
  <c r="D54" i="43"/>
  <c r="C54" i="43"/>
  <c r="G48" i="43"/>
  <c r="H48" i="43" s="1"/>
  <c r="G47" i="43"/>
  <c r="H47" i="43" s="1"/>
  <c r="G46" i="43"/>
  <c r="H46" i="43" s="1"/>
  <c r="F39" i="43"/>
  <c r="E39" i="43"/>
  <c r="D39" i="43"/>
  <c r="C39" i="43"/>
  <c r="H38" i="43"/>
  <c r="G38" i="43"/>
  <c r="G37" i="43"/>
  <c r="H37" i="43" s="1"/>
  <c r="J36" i="43"/>
  <c r="H36" i="43"/>
  <c r="G36" i="43"/>
  <c r="G35" i="43"/>
  <c r="H35" i="43" s="1"/>
  <c r="J34" i="43"/>
  <c r="G34" i="43"/>
  <c r="H34" i="43" s="1"/>
  <c r="G33" i="43"/>
  <c r="H33" i="43" s="1"/>
  <c r="H32" i="43"/>
  <c r="G32" i="43"/>
  <c r="J31" i="43"/>
  <c r="G31" i="43"/>
  <c r="H31" i="43" s="1"/>
  <c r="J30" i="43"/>
  <c r="H30" i="43"/>
  <c r="G30" i="43"/>
  <c r="G29" i="43"/>
  <c r="H29" i="43" s="1"/>
  <c r="J28" i="43"/>
  <c r="G28" i="43"/>
  <c r="H28" i="43" s="1"/>
  <c r="G27" i="43"/>
  <c r="H27" i="43" s="1"/>
  <c r="H26" i="43"/>
  <c r="G26" i="43"/>
  <c r="J25" i="43"/>
  <c r="G25" i="43"/>
  <c r="H25" i="43" s="1"/>
  <c r="J24" i="43"/>
  <c r="H24" i="43"/>
  <c r="G24" i="43"/>
  <c r="G23" i="43"/>
  <c r="H23" i="43" s="1"/>
  <c r="J22" i="43"/>
  <c r="G22" i="43"/>
  <c r="H22" i="43" s="1"/>
  <c r="G21" i="43"/>
  <c r="H21" i="43" s="1"/>
  <c r="H20" i="43"/>
  <c r="G20" i="43"/>
  <c r="J19" i="43"/>
  <c r="G19" i="43"/>
  <c r="H19" i="43" s="1"/>
  <c r="J18" i="43"/>
  <c r="H18" i="43"/>
  <c r="G18" i="43"/>
  <c r="G17" i="43"/>
  <c r="H17" i="43" s="1"/>
  <c r="J16" i="43"/>
  <c r="G16" i="43"/>
  <c r="H16" i="43" s="1"/>
  <c r="G15" i="43"/>
  <c r="H15" i="43" s="1"/>
  <c r="H14" i="43"/>
  <c r="G14" i="43"/>
  <c r="J13" i="43"/>
  <c r="G13" i="43"/>
  <c r="H13" i="43" s="1"/>
  <c r="J12" i="43"/>
  <c r="H12" i="43"/>
  <c r="G12" i="43"/>
  <c r="G11" i="43"/>
  <c r="H11" i="43" s="1"/>
  <c r="J10" i="43"/>
  <c r="G10" i="43"/>
  <c r="H10" i="43" s="1"/>
  <c r="G9" i="43"/>
  <c r="H9" i="43" s="1"/>
  <c r="G69" i="42"/>
  <c r="G68" i="42"/>
  <c r="G67" i="42"/>
  <c r="G66" i="42"/>
  <c r="E61" i="42"/>
  <c r="D61" i="42"/>
  <c r="C61" i="42"/>
  <c r="E60" i="42"/>
  <c r="D60" i="42"/>
  <c r="C60" i="42"/>
  <c r="G54" i="42"/>
  <c r="H54" i="42" s="1"/>
  <c r="G53" i="42"/>
  <c r="H53" i="42" s="1"/>
  <c r="H52" i="42"/>
  <c r="G52" i="42"/>
  <c r="F45" i="42"/>
  <c r="E45" i="42"/>
  <c r="D45" i="42"/>
  <c r="C45" i="42"/>
  <c r="H44" i="42"/>
  <c r="G44" i="42"/>
  <c r="G43" i="42"/>
  <c r="H43" i="42" s="1"/>
  <c r="G42" i="42"/>
  <c r="J41" i="42"/>
  <c r="G41" i="42"/>
  <c r="J40" i="42"/>
  <c r="H40" i="42"/>
  <c r="G40" i="42"/>
  <c r="H39" i="42"/>
  <c r="G39" i="42"/>
  <c r="J39" i="42" s="1"/>
  <c r="G38" i="42"/>
  <c r="H38" i="42" s="1"/>
  <c r="H37" i="42"/>
  <c r="G37" i="42"/>
  <c r="G36" i="42"/>
  <c r="J36" i="42" s="1"/>
  <c r="H35" i="42"/>
  <c r="G35" i="42"/>
  <c r="H34" i="42"/>
  <c r="G34" i="42"/>
  <c r="H33" i="42"/>
  <c r="G33" i="42"/>
  <c r="H32" i="42"/>
  <c r="G32" i="42"/>
  <c r="J32" i="42" s="1"/>
  <c r="G31" i="42"/>
  <c r="H31" i="42" s="1"/>
  <c r="J30" i="42"/>
  <c r="H30" i="42"/>
  <c r="G30" i="42"/>
  <c r="G29" i="42"/>
  <c r="H28" i="42"/>
  <c r="G28" i="42"/>
  <c r="G27" i="42"/>
  <c r="H27" i="42" s="1"/>
  <c r="H26" i="42"/>
  <c r="G26" i="42"/>
  <c r="H25" i="42"/>
  <c r="G25" i="42"/>
  <c r="J24" i="42"/>
  <c r="G24" i="42"/>
  <c r="H24" i="42" s="1"/>
  <c r="J23" i="42"/>
  <c r="G23" i="42"/>
  <c r="H23" i="42" s="1"/>
  <c r="G22" i="42"/>
  <c r="J21" i="42"/>
  <c r="G21" i="42"/>
  <c r="H21" i="42" s="1"/>
  <c r="H20" i="42"/>
  <c r="G20" i="42"/>
  <c r="J20" i="42" s="1"/>
  <c r="H19" i="42"/>
  <c r="G19" i="42"/>
  <c r="J18" i="42"/>
  <c r="G18" i="42"/>
  <c r="H18" i="42" s="1"/>
  <c r="J17" i="42"/>
  <c r="G17" i="42"/>
  <c r="H17" i="42" s="1"/>
  <c r="G16" i="42"/>
  <c r="J15" i="42"/>
  <c r="G15" i="42"/>
  <c r="H15" i="42" s="1"/>
  <c r="H14" i="42"/>
  <c r="G14" i="42"/>
  <c r="J14" i="42" s="1"/>
  <c r="H13" i="42"/>
  <c r="G13" i="42"/>
  <c r="J12" i="42"/>
  <c r="G12" i="42"/>
  <c r="H12" i="42" s="1"/>
  <c r="J11" i="42"/>
  <c r="G11" i="42"/>
  <c r="H11" i="42" s="1"/>
  <c r="G10" i="42"/>
  <c r="J9" i="42"/>
  <c r="G9" i="42"/>
  <c r="H9" i="42" s="1"/>
  <c r="G67" i="41"/>
  <c r="G66" i="41"/>
  <c r="G65" i="41"/>
  <c r="G64" i="41"/>
  <c r="E59" i="41"/>
  <c r="D59" i="41"/>
  <c r="C59" i="41"/>
  <c r="E58" i="41"/>
  <c r="D58" i="41"/>
  <c r="C58" i="41"/>
  <c r="G52" i="41"/>
  <c r="H52" i="41" s="1"/>
  <c r="G51" i="41"/>
  <c r="H51" i="41" s="1"/>
  <c r="G50" i="41"/>
  <c r="H50" i="41" s="1"/>
  <c r="F43" i="41"/>
  <c r="E43" i="41"/>
  <c r="D43" i="41"/>
  <c r="C43" i="41"/>
  <c r="H42" i="41"/>
  <c r="G42" i="41"/>
  <c r="H41" i="41"/>
  <c r="G41" i="41"/>
  <c r="H40" i="41"/>
  <c r="G40" i="41"/>
  <c r="G39" i="41"/>
  <c r="J38" i="41"/>
  <c r="G38" i="41"/>
  <c r="H38" i="41" s="1"/>
  <c r="H37" i="41"/>
  <c r="G37" i="41"/>
  <c r="J37" i="41" s="1"/>
  <c r="G36" i="41"/>
  <c r="G35" i="41"/>
  <c r="H35" i="41" s="1"/>
  <c r="H34" i="41"/>
  <c r="G34" i="41"/>
  <c r="H33" i="41"/>
  <c r="G33" i="41"/>
  <c r="H32" i="41"/>
  <c r="G32" i="41"/>
  <c r="J32" i="41" s="1"/>
  <c r="J31" i="41"/>
  <c r="G31" i="41"/>
  <c r="J30" i="41"/>
  <c r="H30" i="41"/>
  <c r="G30" i="41"/>
  <c r="G29" i="41"/>
  <c r="J29" i="41" s="1"/>
  <c r="G28" i="41"/>
  <c r="J27" i="41"/>
  <c r="H27" i="41"/>
  <c r="G27" i="41"/>
  <c r="H26" i="41"/>
  <c r="G26" i="41"/>
  <c r="J26" i="41" s="1"/>
  <c r="J25" i="41"/>
  <c r="G25" i="41"/>
  <c r="J24" i="41"/>
  <c r="H24" i="41"/>
  <c r="G24" i="41"/>
  <c r="G23" i="41"/>
  <c r="J23" i="41" s="1"/>
  <c r="G22" i="41"/>
  <c r="J21" i="41"/>
  <c r="H21" i="41"/>
  <c r="G21" i="41"/>
  <c r="G20" i="41"/>
  <c r="J19" i="41"/>
  <c r="G19" i="41"/>
  <c r="H19" i="41" s="1"/>
  <c r="H18" i="41"/>
  <c r="G18" i="41"/>
  <c r="J18" i="41" s="1"/>
  <c r="H17" i="41"/>
  <c r="G17" i="41"/>
  <c r="J16" i="41"/>
  <c r="G16" i="41"/>
  <c r="H16" i="41" s="1"/>
  <c r="J15" i="41"/>
  <c r="G15" i="41"/>
  <c r="H15" i="41" s="1"/>
  <c r="G14" i="41"/>
  <c r="J13" i="41"/>
  <c r="G13" i="41"/>
  <c r="H13" i="41" s="1"/>
  <c r="H12" i="41"/>
  <c r="G12" i="41"/>
  <c r="J12" i="41" s="1"/>
  <c r="H11" i="41"/>
  <c r="G11" i="41"/>
  <c r="J10" i="41"/>
  <c r="G10" i="41"/>
  <c r="H10" i="41" s="1"/>
  <c r="J9" i="41"/>
  <c r="G9" i="41"/>
  <c r="G43" i="41" s="1"/>
  <c r="G63" i="40"/>
  <c r="G62" i="40"/>
  <c r="G61" i="40"/>
  <c r="G60" i="40"/>
  <c r="E55" i="40"/>
  <c r="D55" i="40"/>
  <c r="C55" i="40"/>
  <c r="E54" i="40"/>
  <c r="D54" i="40"/>
  <c r="C54" i="40"/>
  <c r="G48" i="40"/>
  <c r="H48" i="40" s="1"/>
  <c r="G47" i="40"/>
  <c r="H47" i="40" s="1"/>
  <c r="H46" i="40"/>
  <c r="G46" i="40"/>
  <c r="F39" i="40"/>
  <c r="E39" i="40"/>
  <c r="D39" i="40"/>
  <c r="C39" i="40"/>
  <c r="G38" i="40"/>
  <c r="G37" i="40"/>
  <c r="H37" i="40" s="1"/>
  <c r="G36" i="40"/>
  <c r="H36" i="40" s="1"/>
  <c r="J35" i="40"/>
  <c r="G35" i="40"/>
  <c r="J34" i="40"/>
  <c r="H34" i="40"/>
  <c r="G34" i="40"/>
  <c r="H33" i="40"/>
  <c r="G33" i="40"/>
  <c r="J33" i="40" s="1"/>
  <c r="G32" i="40"/>
  <c r="H32" i="40" s="1"/>
  <c r="H31" i="40"/>
  <c r="G31" i="40"/>
  <c r="G30" i="40"/>
  <c r="H30" i="40" s="1"/>
  <c r="H29" i="40"/>
  <c r="G29" i="40"/>
  <c r="J29" i="40" s="1"/>
  <c r="H28" i="40"/>
  <c r="G28" i="40"/>
  <c r="J27" i="40"/>
  <c r="G27" i="40"/>
  <c r="H27" i="40" s="1"/>
  <c r="J26" i="40"/>
  <c r="G26" i="40"/>
  <c r="H26" i="40" s="1"/>
  <c r="G25" i="40"/>
  <c r="J24" i="40"/>
  <c r="G24" i="40"/>
  <c r="H24" i="40" s="1"/>
  <c r="H23" i="40"/>
  <c r="G23" i="40"/>
  <c r="J23" i="40" s="1"/>
  <c r="H22" i="40"/>
  <c r="G22" i="40"/>
  <c r="J21" i="40"/>
  <c r="G21" i="40"/>
  <c r="H21" i="40" s="1"/>
  <c r="J20" i="40"/>
  <c r="G20" i="40"/>
  <c r="H20" i="40" s="1"/>
  <c r="G19" i="40"/>
  <c r="J18" i="40"/>
  <c r="G18" i="40"/>
  <c r="H18" i="40" s="1"/>
  <c r="H17" i="40"/>
  <c r="G17" i="40"/>
  <c r="J17" i="40" s="1"/>
  <c r="H16" i="40"/>
  <c r="G16" i="40"/>
  <c r="J15" i="40"/>
  <c r="G15" i="40"/>
  <c r="H15" i="40" s="1"/>
  <c r="J14" i="40"/>
  <c r="G14" i="40"/>
  <c r="H14" i="40" s="1"/>
  <c r="G13" i="40"/>
  <c r="J12" i="40"/>
  <c r="G12" i="40"/>
  <c r="H12" i="40" s="1"/>
  <c r="H11" i="40"/>
  <c r="G11" i="40"/>
  <c r="J11" i="40" s="1"/>
  <c r="H10" i="40"/>
  <c r="G10" i="40"/>
  <c r="J9" i="40"/>
  <c r="G9" i="40"/>
  <c r="H9" i="40" s="1"/>
  <c r="G65" i="39"/>
  <c r="G64" i="39"/>
  <c r="G63" i="39"/>
  <c r="G62" i="39"/>
  <c r="E57" i="39"/>
  <c r="D57" i="39"/>
  <c r="C57" i="39"/>
  <c r="E56" i="39"/>
  <c r="D56" i="39"/>
  <c r="C56" i="39"/>
  <c r="G50" i="39"/>
  <c r="H50" i="39" s="1"/>
  <c r="H49" i="39"/>
  <c r="G49" i="39"/>
  <c r="H48" i="39"/>
  <c r="G48" i="39"/>
  <c r="F41" i="39"/>
  <c r="E41" i="39"/>
  <c r="D41" i="39"/>
  <c r="C41" i="39"/>
  <c r="J40" i="39"/>
  <c r="G40" i="39"/>
  <c r="H40" i="39" s="1"/>
  <c r="G39" i="39"/>
  <c r="G38" i="39"/>
  <c r="J37" i="39"/>
  <c r="H37" i="39"/>
  <c r="G37" i="39"/>
  <c r="H36" i="39"/>
  <c r="G36" i="39"/>
  <c r="J36" i="39" s="1"/>
  <c r="G35" i="39"/>
  <c r="J35" i="39" s="1"/>
  <c r="H34" i="39"/>
  <c r="G34" i="39"/>
  <c r="H33" i="39"/>
  <c r="G33" i="39"/>
  <c r="J32" i="39"/>
  <c r="G32" i="39"/>
  <c r="H32" i="39" s="1"/>
  <c r="J31" i="39"/>
  <c r="G31" i="39"/>
  <c r="H31" i="39" s="1"/>
  <c r="G30" i="39"/>
  <c r="J29" i="39"/>
  <c r="G29" i="39"/>
  <c r="H29" i="39" s="1"/>
  <c r="H28" i="39"/>
  <c r="G28" i="39"/>
  <c r="J28" i="39" s="1"/>
  <c r="H27" i="39"/>
  <c r="G27" i="39"/>
  <c r="J26" i="39"/>
  <c r="G26" i="39"/>
  <c r="H26" i="39" s="1"/>
  <c r="J25" i="39"/>
  <c r="G25" i="39"/>
  <c r="H25" i="39" s="1"/>
  <c r="G24" i="39"/>
  <c r="J23" i="39"/>
  <c r="G23" i="39"/>
  <c r="H23" i="39" s="1"/>
  <c r="H22" i="39"/>
  <c r="G22" i="39"/>
  <c r="J22" i="39" s="1"/>
  <c r="H21" i="39"/>
  <c r="G21" i="39"/>
  <c r="H20" i="39"/>
  <c r="G20" i="39"/>
  <c r="H19" i="39"/>
  <c r="G19" i="39"/>
  <c r="J19" i="39" s="1"/>
  <c r="G18" i="39"/>
  <c r="J17" i="39"/>
  <c r="H17" i="39"/>
  <c r="G17" i="39"/>
  <c r="G16" i="39"/>
  <c r="J16" i="39" s="1"/>
  <c r="J15" i="39"/>
  <c r="G15" i="39"/>
  <c r="J14" i="39"/>
  <c r="H14" i="39"/>
  <c r="G14" i="39"/>
  <c r="H13" i="39"/>
  <c r="G13" i="39"/>
  <c r="J13" i="39" s="1"/>
  <c r="G12" i="39"/>
  <c r="J11" i="39"/>
  <c r="H11" i="39"/>
  <c r="G11" i="39"/>
  <c r="G10" i="39"/>
  <c r="J10" i="39" s="1"/>
  <c r="J9" i="39"/>
  <c r="G9" i="39"/>
  <c r="G68" i="38"/>
  <c r="G67" i="38"/>
  <c r="G66" i="38"/>
  <c r="G65" i="38"/>
  <c r="E60" i="38"/>
  <c r="D60" i="38"/>
  <c r="C60" i="38"/>
  <c r="E59" i="38"/>
  <c r="D59" i="38"/>
  <c r="C59" i="38"/>
  <c r="G53" i="38"/>
  <c r="H53" i="38" s="1"/>
  <c r="H52" i="38"/>
  <c r="G52" i="38"/>
  <c r="H51" i="38"/>
  <c r="G51" i="38"/>
  <c r="F44" i="38"/>
  <c r="E44" i="38"/>
  <c r="D44" i="38"/>
  <c r="D45" i="38" s="1"/>
  <c r="C44" i="38"/>
  <c r="C45" i="38" s="1"/>
  <c r="G43" i="38"/>
  <c r="H43" i="38" s="1"/>
  <c r="G42" i="38"/>
  <c r="I42" i="38" s="1"/>
  <c r="G41" i="38"/>
  <c r="H41" i="38" s="1"/>
  <c r="G40" i="38"/>
  <c r="I40" i="38" s="1"/>
  <c r="H39" i="38"/>
  <c r="G39" i="38"/>
  <c r="H38" i="38"/>
  <c r="G38" i="38"/>
  <c r="H37" i="38"/>
  <c r="G37" i="38"/>
  <c r="J36" i="38"/>
  <c r="G36" i="38"/>
  <c r="H36" i="38" s="1"/>
  <c r="H35" i="38"/>
  <c r="G35" i="38"/>
  <c r="I35" i="38" s="1"/>
  <c r="J34" i="38"/>
  <c r="G34" i="38"/>
  <c r="H34" i="38" s="1"/>
  <c r="J33" i="38"/>
  <c r="H33" i="38"/>
  <c r="G33" i="38"/>
  <c r="G32" i="38"/>
  <c r="I32" i="38" s="1"/>
  <c r="J31" i="38"/>
  <c r="H31" i="38"/>
  <c r="G31" i="38"/>
  <c r="J30" i="38"/>
  <c r="H30" i="38"/>
  <c r="G30" i="38"/>
  <c r="G29" i="38"/>
  <c r="H29" i="38" s="1"/>
  <c r="J28" i="38"/>
  <c r="H28" i="38"/>
  <c r="G28" i="38"/>
  <c r="J27" i="38"/>
  <c r="H27" i="38"/>
  <c r="G27" i="38"/>
  <c r="J26" i="38"/>
  <c r="G26" i="38"/>
  <c r="H26" i="38" s="1"/>
  <c r="H25" i="38"/>
  <c r="G25" i="38"/>
  <c r="J24" i="38"/>
  <c r="H24" i="38"/>
  <c r="G24" i="38"/>
  <c r="J23" i="38"/>
  <c r="H23" i="38"/>
  <c r="G23" i="38"/>
  <c r="G22" i="38"/>
  <c r="J21" i="38"/>
  <c r="H21" i="38"/>
  <c r="G21" i="38"/>
  <c r="J20" i="38"/>
  <c r="H20" i="38"/>
  <c r="G20" i="38"/>
  <c r="G19" i="38"/>
  <c r="J19" i="38" s="1"/>
  <c r="J18" i="38"/>
  <c r="H18" i="38"/>
  <c r="G18" i="38"/>
  <c r="H17" i="38"/>
  <c r="G17" i="38"/>
  <c r="J17" i="38" s="1"/>
  <c r="J16" i="38"/>
  <c r="G16" i="38"/>
  <c r="H16" i="38" s="1"/>
  <c r="J15" i="38"/>
  <c r="H15" i="38"/>
  <c r="G15" i="38"/>
  <c r="G14" i="38"/>
  <c r="I14" i="38" s="1"/>
  <c r="J13" i="38"/>
  <c r="H13" i="38"/>
  <c r="G13" i="38"/>
  <c r="J12" i="38"/>
  <c r="H12" i="38"/>
  <c r="G12" i="38"/>
  <c r="G11" i="38"/>
  <c r="H11" i="38" s="1"/>
  <c r="J10" i="38"/>
  <c r="H10" i="38"/>
  <c r="G10" i="38"/>
  <c r="J9" i="38"/>
  <c r="H9" i="38"/>
  <c r="G9" i="38"/>
  <c r="G44" i="38" s="1"/>
  <c r="I27" i="38" s="1"/>
  <c r="G69" i="37"/>
  <c r="G68" i="37"/>
  <c r="G67" i="37"/>
  <c r="G66" i="37"/>
  <c r="E61" i="37"/>
  <c r="D61" i="37"/>
  <c r="C61" i="37"/>
  <c r="E60" i="37"/>
  <c r="D60" i="37"/>
  <c r="C60" i="37"/>
  <c r="H54" i="37"/>
  <c r="G54" i="37"/>
  <c r="H53" i="37"/>
  <c r="G53" i="37"/>
  <c r="G52" i="37"/>
  <c r="H52" i="37" s="1"/>
  <c r="F45" i="37"/>
  <c r="E45" i="37"/>
  <c r="D45" i="37"/>
  <c r="C45" i="37"/>
  <c r="C46" i="37" s="1"/>
  <c r="G44" i="37"/>
  <c r="H44" i="37" s="1"/>
  <c r="H43" i="37"/>
  <c r="G43" i="37"/>
  <c r="J43" i="37" s="1"/>
  <c r="J42" i="37"/>
  <c r="G42" i="37"/>
  <c r="H42" i="37" s="1"/>
  <c r="J41" i="37"/>
  <c r="H41" i="37"/>
  <c r="G41" i="37"/>
  <c r="G40" i="37"/>
  <c r="J40" i="37" s="1"/>
  <c r="H39" i="37"/>
  <c r="G39" i="37"/>
  <c r="G38" i="37"/>
  <c r="H38" i="37" s="1"/>
  <c r="H37" i="37"/>
  <c r="G37" i="37"/>
  <c r="G36" i="37"/>
  <c r="I36" i="37" s="1"/>
  <c r="J35" i="37"/>
  <c r="H35" i="37"/>
  <c r="G35" i="37"/>
  <c r="J34" i="37"/>
  <c r="H34" i="37"/>
  <c r="G34" i="37"/>
  <c r="G33" i="37"/>
  <c r="H33" i="37" s="1"/>
  <c r="J32" i="37"/>
  <c r="H32" i="37"/>
  <c r="G32" i="37"/>
  <c r="J31" i="37"/>
  <c r="H31" i="37"/>
  <c r="G31" i="37"/>
  <c r="J30" i="37"/>
  <c r="G30" i="37"/>
  <c r="H30" i="37" s="1"/>
  <c r="G29" i="37"/>
  <c r="H29" i="37" s="1"/>
  <c r="J28" i="37"/>
  <c r="G28" i="37"/>
  <c r="H28" i="37" s="1"/>
  <c r="H27" i="37"/>
  <c r="G27" i="37"/>
  <c r="J27" i="37" s="1"/>
  <c r="J26" i="37"/>
  <c r="G26" i="37"/>
  <c r="H26" i="37" s="1"/>
  <c r="J25" i="37"/>
  <c r="H25" i="37"/>
  <c r="G25" i="37"/>
  <c r="G24" i="37"/>
  <c r="J24" i="37" s="1"/>
  <c r="J23" i="37"/>
  <c r="G23" i="37"/>
  <c r="H23" i="37" s="1"/>
  <c r="G22" i="37"/>
  <c r="I22" i="37" s="1"/>
  <c r="H21" i="37"/>
  <c r="G21" i="37"/>
  <c r="J21" i="37" s="1"/>
  <c r="G20" i="37"/>
  <c r="H20" i="37" s="1"/>
  <c r="J19" i="37"/>
  <c r="G19" i="37"/>
  <c r="H19" i="37" s="1"/>
  <c r="H18" i="37"/>
  <c r="G18" i="37"/>
  <c r="J18" i="37" s="1"/>
  <c r="J17" i="37"/>
  <c r="G17" i="37"/>
  <c r="H17" i="37" s="1"/>
  <c r="J16" i="37"/>
  <c r="H16" i="37"/>
  <c r="G16" i="37"/>
  <c r="G15" i="37"/>
  <c r="H15" i="37" s="1"/>
  <c r="J14" i="37"/>
  <c r="H14" i="37"/>
  <c r="G14" i="37"/>
  <c r="G13" i="37"/>
  <c r="I13" i="37" s="1"/>
  <c r="J12" i="37"/>
  <c r="H12" i="37"/>
  <c r="G12" i="37"/>
  <c r="J11" i="37"/>
  <c r="H11" i="37"/>
  <c r="G11" i="37"/>
  <c r="G10" i="37"/>
  <c r="H10" i="37" s="1"/>
  <c r="J9" i="37"/>
  <c r="H9" i="37"/>
  <c r="G9" i="37"/>
  <c r="G45" i="37" s="1"/>
  <c r="G58" i="36"/>
  <c r="G57" i="36"/>
  <c r="G56" i="36"/>
  <c r="G55" i="36"/>
  <c r="E50" i="36"/>
  <c r="D50" i="36"/>
  <c r="C50" i="36"/>
  <c r="E49" i="36"/>
  <c r="D49" i="36"/>
  <c r="C49" i="36"/>
  <c r="H43" i="36"/>
  <c r="G43" i="36"/>
  <c r="G42" i="36"/>
  <c r="H42" i="36" s="1"/>
  <c r="H41" i="36"/>
  <c r="G41" i="36"/>
  <c r="F34" i="36"/>
  <c r="E34" i="36"/>
  <c r="D34" i="36"/>
  <c r="C34" i="36"/>
  <c r="G33" i="36"/>
  <c r="J32" i="36"/>
  <c r="H32" i="36"/>
  <c r="G32" i="36"/>
  <c r="H31" i="36"/>
  <c r="G31" i="36"/>
  <c r="H30" i="36"/>
  <c r="G30" i="36"/>
  <c r="J29" i="36"/>
  <c r="H29" i="36"/>
  <c r="G29" i="36"/>
  <c r="G28" i="36"/>
  <c r="J28" i="36" s="1"/>
  <c r="J27" i="36"/>
  <c r="H27" i="36"/>
  <c r="G27" i="36"/>
  <c r="H26" i="36"/>
  <c r="G26" i="36"/>
  <c r="J26" i="36" s="1"/>
  <c r="J25" i="36"/>
  <c r="G25" i="36"/>
  <c r="H25" i="36" s="1"/>
  <c r="J24" i="36"/>
  <c r="H24" i="36"/>
  <c r="G24" i="36"/>
  <c r="G23" i="36"/>
  <c r="J22" i="36"/>
  <c r="H22" i="36"/>
  <c r="G22" i="36"/>
  <c r="J21" i="36"/>
  <c r="H21" i="36"/>
  <c r="G21" i="36"/>
  <c r="G20" i="36"/>
  <c r="H20" i="36" s="1"/>
  <c r="J19" i="36"/>
  <c r="H19" i="36"/>
  <c r="G19" i="36"/>
  <c r="J18" i="36"/>
  <c r="H18" i="36"/>
  <c r="G18" i="36"/>
  <c r="J17" i="36"/>
  <c r="G17" i="36"/>
  <c r="H17" i="36" s="1"/>
  <c r="H16" i="36"/>
  <c r="G16" i="36"/>
  <c r="J15" i="36"/>
  <c r="H15" i="36"/>
  <c r="G15" i="36"/>
  <c r="J14" i="36"/>
  <c r="H14" i="36"/>
  <c r="G14" i="36"/>
  <c r="G13" i="36"/>
  <c r="J12" i="36"/>
  <c r="H12" i="36"/>
  <c r="G12" i="36"/>
  <c r="J11" i="36"/>
  <c r="H11" i="36"/>
  <c r="G11" i="36"/>
  <c r="G10" i="36"/>
  <c r="J10" i="36" s="1"/>
  <c r="H9" i="36"/>
  <c r="G9" i="36"/>
  <c r="G64" i="35"/>
  <c r="G63" i="35"/>
  <c r="G62" i="35"/>
  <c r="G61" i="35"/>
  <c r="E56" i="35"/>
  <c r="D56" i="35"/>
  <c r="C56" i="35"/>
  <c r="E55" i="35"/>
  <c r="D55" i="35"/>
  <c r="C55" i="35"/>
  <c r="H49" i="35"/>
  <c r="G49" i="35"/>
  <c r="G48" i="35"/>
  <c r="H48" i="35" s="1"/>
  <c r="G47" i="35"/>
  <c r="H47" i="35" s="1"/>
  <c r="F40" i="35"/>
  <c r="E40" i="35"/>
  <c r="E41" i="35" s="1"/>
  <c r="D40" i="35"/>
  <c r="C40" i="35"/>
  <c r="G39" i="35"/>
  <c r="H39" i="35" s="1"/>
  <c r="J38" i="35"/>
  <c r="H38" i="35"/>
  <c r="G38" i="35"/>
  <c r="J37" i="35"/>
  <c r="H37" i="35"/>
  <c r="G37" i="35"/>
  <c r="J36" i="35"/>
  <c r="G36" i="35"/>
  <c r="H36" i="35" s="1"/>
  <c r="G35" i="35"/>
  <c r="H35" i="35" s="1"/>
  <c r="J34" i="35"/>
  <c r="G34" i="35"/>
  <c r="H34" i="35" s="1"/>
  <c r="H33" i="35"/>
  <c r="G33" i="35"/>
  <c r="J33" i="35" s="1"/>
  <c r="J32" i="35"/>
  <c r="G32" i="35"/>
  <c r="H32" i="35" s="1"/>
  <c r="J31" i="35"/>
  <c r="H31" i="35"/>
  <c r="G31" i="35"/>
  <c r="G30" i="35"/>
  <c r="J30" i="35" s="1"/>
  <c r="J29" i="35"/>
  <c r="G29" i="35"/>
  <c r="H29" i="35" s="1"/>
  <c r="G28" i="35"/>
  <c r="I28" i="35" s="1"/>
  <c r="H27" i="35"/>
  <c r="G27" i="35"/>
  <c r="J27" i="35" s="1"/>
  <c r="G26" i="35"/>
  <c r="H26" i="35" s="1"/>
  <c r="J25" i="35"/>
  <c r="G25" i="35"/>
  <c r="H25" i="35" s="1"/>
  <c r="H24" i="35"/>
  <c r="G24" i="35"/>
  <c r="J24" i="35" s="1"/>
  <c r="J23" i="35"/>
  <c r="G23" i="35"/>
  <c r="H23" i="35" s="1"/>
  <c r="J22" i="35"/>
  <c r="H22" i="35"/>
  <c r="G22" i="35"/>
  <c r="G21" i="35"/>
  <c r="H21" i="35" s="1"/>
  <c r="J20" i="35"/>
  <c r="H20" i="35"/>
  <c r="G20" i="35"/>
  <c r="H19" i="35"/>
  <c r="G19" i="35"/>
  <c r="J19" i="35" s="1"/>
  <c r="G18" i="35"/>
  <c r="H18" i="35" s="1"/>
  <c r="J17" i="35"/>
  <c r="H17" i="35"/>
  <c r="G17" i="35"/>
  <c r="H16" i="35"/>
  <c r="G16" i="35"/>
  <c r="J16" i="35" s="1"/>
  <c r="G15" i="35"/>
  <c r="H15" i="35" s="1"/>
  <c r="J14" i="35"/>
  <c r="H14" i="35"/>
  <c r="G14" i="35"/>
  <c r="H13" i="35"/>
  <c r="G13" i="35"/>
  <c r="J13" i="35" s="1"/>
  <c r="G12" i="35"/>
  <c r="H12" i="35" s="1"/>
  <c r="J11" i="35"/>
  <c r="H11" i="35"/>
  <c r="G11" i="35"/>
  <c r="H10" i="35"/>
  <c r="G10" i="35"/>
  <c r="J10" i="35" s="1"/>
  <c r="G9" i="35"/>
  <c r="G40" i="35" s="1"/>
  <c r="G65" i="34"/>
  <c r="G64" i="34"/>
  <c r="G63" i="34"/>
  <c r="G62" i="34"/>
  <c r="E57" i="34"/>
  <c r="D57" i="34"/>
  <c r="C57" i="34"/>
  <c r="E56" i="34"/>
  <c r="D56" i="34"/>
  <c r="C56" i="34"/>
  <c r="G50" i="34"/>
  <c r="H50" i="34" s="1"/>
  <c r="H49" i="34"/>
  <c r="G49" i="34"/>
  <c r="H48" i="34"/>
  <c r="G48" i="34"/>
  <c r="F41" i="34"/>
  <c r="E41" i="34"/>
  <c r="D41" i="34"/>
  <c r="C41" i="34"/>
  <c r="G40" i="34"/>
  <c r="H40" i="34" s="1"/>
  <c r="J39" i="34"/>
  <c r="H39" i="34"/>
  <c r="G39" i="34"/>
  <c r="G38" i="34"/>
  <c r="J37" i="34"/>
  <c r="G37" i="34"/>
  <c r="H37" i="34" s="1"/>
  <c r="J36" i="34"/>
  <c r="H36" i="34"/>
  <c r="G36" i="34"/>
  <c r="G35" i="34"/>
  <c r="J34" i="34"/>
  <c r="G34" i="34"/>
  <c r="H34" i="34" s="1"/>
  <c r="J33" i="34"/>
  <c r="H33" i="34"/>
  <c r="G33" i="34"/>
  <c r="G32" i="34"/>
  <c r="J31" i="34"/>
  <c r="G31" i="34"/>
  <c r="H31" i="34" s="1"/>
  <c r="J30" i="34"/>
  <c r="H30" i="34"/>
  <c r="G30" i="34"/>
  <c r="G29" i="34"/>
  <c r="J28" i="34"/>
  <c r="G28" i="34"/>
  <c r="H28" i="34" s="1"/>
  <c r="J27" i="34"/>
  <c r="H27" i="34"/>
  <c r="G27" i="34"/>
  <c r="G26" i="34"/>
  <c r="J25" i="34"/>
  <c r="G25" i="34"/>
  <c r="H25" i="34" s="1"/>
  <c r="J24" i="34"/>
  <c r="H24" i="34"/>
  <c r="G24" i="34"/>
  <c r="G23" i="34"/>
  <c r="J22" i="34"/>
  <c r="G22" i="34"/>
  <c r="H22" i="34" s="1"/>
  <c r="J21" i="34"/>
  <c r="H21" i="34"/>
  <c r="G21" i="34"/>
  <c r="G20" i="34"/>
  <c r="J19" i="34"/>
  <c r="G19" i="34"/>
  <c r="H19" i="34" s="1"/>
  <c r="J18" i="34"/>
  <c r="H18" i="34"/>
  <c r="G18" i="34"/>
  <c r="G17" i="34"/>
  <c r="J16" i="34"/>
  <c r="G16" i="34"/>
  <c r="H16" i="34" s="1"/>
  <c r="J15" i="34"/>
  <c r="H15" i="34"/>
  <c r="G15" i="34"/>
  <c r="G14" i="34"/>
  <c r="J13" i="34"/>
  <c r="G13" i="34"/>
  <c r="H13" i="34" s="1"/>
  <c r="J12" i="34"/>
  <c r="H12" i="34"/>
  <c r="G12" i="34"/>
  <c r="G11" i="34"/>
  <c r="H10" i="34"/>
  <c r="G10" i="34"/>
  <c r="G9" i="34"/>
  <c r="G68" i="33"/>
  <c r="G67" i="33"/>
  <c r="G66" i="33"/>
  <c r="G65" i="33"/>
  <c r="E60" i="33"/>
  <c r="D60" i="33"/>
  <c r="C60" i="33"/>
  <c r="E59" i="33"/>
  <c r="D59" i="33"/>
  <c r="C59" i="33"/>
  <c r="G53" i="33"/>
  <c r="H53" i="33" s="1"/>
  <c r="H52" i="33"/>
  <c r="G52" i="33"/>
  <c r="G51" i="33"/>
  <c r="H51" i="33" s="1"/>
  <c r="F44" i="33"/>
  <c r="E44" i="33"/>
  <c r="D44" i="33"/>
  <c r="C44" i="33"/>
  <c r="G43" i="33"/>
  <c r="H43" i="33" s="1"/>
  <c r="J42" i="33"/>
  <c r="H42" i="33"/>
  <c r="G42" i="33"/>
  <c r="G41" i="33"/>
  <c r="J40" i="33"/>
  <c r="G40" i="33"/>
  <c r="H40" i="33" s="1"/>
  <c r="J39" i="33"/>
  <c r="H39" i="33"/>
  <c r="G39" i="33"/>
  <c r="G38" i="33"/>
  <c r="J37" i="33"/>
  <c r="G37" i="33"/>
  <c r="H37" i="33" s="1"/>
  <c r="J36" i="33"/>
  <c r="H36" i="33"/>
  <c r="G36" i="33"/>
  <c r="G35" i="33"/>
  <c r="J34" i="33"/>
  <c r="G34" i="33"/>
  <c r="H34" i="33" s="1"/>
  <c r="J33" i="33"/>
  <c r="H33" i="33"/>
  <c r="G33" i="33"/>
  <c r="G32" i="33"/>
  <c r="J31" i="33"/>
  <c r="G31" i="33"/>
  <c r="H31" i="33" s="1"/>
  <c r="J30" i="33"/>
  <c r="H30" i="33"/>
  <c r="G30" i="33"/>
  <c r="G29" i="33"/>
  <c r="H28" i="33"/>
  <c r="G28" i="33"/>
  <c r="H27" i="33"/>
  <c r="G27" i="33"/>
  <c r="G26" i="33"/>
  <c r="H26" i="33" s="1"/>
  <c r="J25" i="33"/>
  <c r="H25" i="33"/>
  <c r="G25" i="33"/>
  <c r="H24" i="33"/>
  <c r="G24" i="33"/>
  <c r="G23" i="33"/>
  <c r="H23" i="33" s="1"/>
  <c r="J22" i="33"/>
  <c r="H22" i="33"/>
  <c r="G22" i="33"/>
  <c r="H21" i="33"/>
  <c r="G21" i="33"/>
  <c r="G20" i="33"/>
  <c r="H20" i="33" s="1"/>
  <c r="J19" i="33"/>
  <c r="H19" i="33"/>
  <c r="G19" i="33"/>
  <c r="G18" i="33"/>
  <c r="H18" i="33" s="1"/>
  <c r="G17" i="33"/>
  <c r="H17" i="33" s="1"/>
  <c r="J16" i="33"/>
  <c r="H16" i="33"/>
  <c r="G16" i="33"/>
  <c r="G15" i="33"/>
  <c r="G14" i="33"/>
  <c r="H14" i="33" s="1"/>
  <c r="J13" i="33"/>
  <c r="H13" i="33"/>
  <c r="G13" i="33"/>
  <c r="G12" i="33"/>
  <c r="G11" i="33"/>
  <c r="H11" i="33" s="1"/>
  <c r="J10" i="33"/>
  <c r="H10" i="33"/>
  <c r="G10" i="33"/>
  <c r="H9" i="33"/>
  <c r="G9" i="33"/>
  <c r="G71" i="32"/>
  <c r="G70" i="32"/>
  <c r="G69" i="32"/>
  <c r="G68" i="32"/>
  <c r="E63" i="32"/>
  <c r="D63" i="32"/>
  <c r="C63" i="32"/>
  <c r="E62" i="32"/>
  <c r="D62" i="32"/>
  <c r="C62" i="32"/>
  <c r="H56" i="32"/>
  <c r="G56" i="32"/>
  <c r="H55" i="32"/>
  <c r="G55" i="32"/>
  <c r="G54" i="32"/>
  <c r="H54" i="32" s="1"/>
  <c r="F47" i="32"/>
  <c r="E47" i="32"/>
  <c r="D47" i="32"/>
  <c r="C47" i="32"/>
  <c r="G46" i="32"/>
  <c r="H45" i="32"/>
  <c r="G45" i="32"/>
  <c r="G44" i="32"/>
  <c r="H43" i="32"/>
  <c r="G43" i="32"/>
  <c r="G42" i="32"/>
  <c r="J41" i="32"/>
  <c r="G41" i="32"/>
  <c r="H41" i="32" s="1"/>
  <c r="J40" i="32"/>
  <c r="H40" i="32"/>
  <c r="G40" i="32"/>
  <c r="G39" i="32"/>
  <c r="H38" i="32"/>
  <c r="G38" i="32"/>
  <c r="G37" i="32"/>
  <c r="H36" i="32"/>
  <c r="G36" i="32"/>
  <c r="G35" i="32"/>
  <c r="J34" i="32"/>
  <c r="G34" i="32"/>
  <c r="H34" i="32" s="1"/>
  <c r="J33" i="32"/>
  <c r="H33" i="32"/>
  <c r="G33" i="32"/>
  <c r="G32" i="32"/>
  <c r="J31" i="32"/>
  <c r="G31" i="32"/>
  <c r="H31" i="32" s="1"/>
  <c r="J30" i="32"/>
  <c r="H30" i="32"/>
  <c r="G30" i="32"/>
  <c r="G29" i="32"/>
  <c r="J28" i="32"/>
  <c r="G28" i="32"/>
  <c r="H28" i="32" s="1"/>
  <c r="J27" i="32"/>
  <c r="H27" i="32"/>
  <c r="G27" i="32"/>
  <c r="H26" i="32"/>
  <c r="G26" i="32"/>
  <c r="J25" i="32"/>
  <c r="G25" i="32"/>
  <c r="H25" i="32" s="1"/>
  <c r="H24" i="32"/>
  <c r="G24" i="32"/>
  <c r="G23" i="32"/>
  <c r="J22" i="32"/>
  <c r="H22" i="32"/>
  <c r="G22" i="32"/>
  <c r="H21" i="32"/>
  <c r="G21" i="32"/>
  <c r="J21" i="32" s="1"/>
  <c r="G20" i="32"/>
  <c r="J19" i="32"/>
  <c r="H19" i="32"/>
  <c r="G19" i="32"/>
  <c r="G18" i="32"/>
  <c r="J18" i="32" s="1"/>
  <c r="G17" i="32"/>
  <c r="J16" i="32"/>
  <c r="H16" i="32"/>
  <c r="G16" i="32"/>
  <c r="H15" i="32"/>
  <c r="G15" i="32"/>
  <c r="J15" i="32" s="1"/>
  <c r="G14" i="32"/>
  <c r="H13" i="32"/>
  <c r="G13" i="32"/>
  <c r="G12" i="32"/>
  <c r="J11" i="32"/>
  <c r="H11" i="32"/>
  <c r="G11" i="32"/>
  <c r="H10" i="32"/>
  <c r="G10" i="32"/>
  <c r="J10" i="32" s="1"/>
  <c r="G9" i="32"/>
  <c r="G65" i="31"/>
  <c r="G64" i="31"/>
  <c r="G63" i="31"/>
  <c r="G62" i="31"/>
  <c r="E57" i="31"/>
  <c r="D57" i="31"/>
  <c r="C57" i="31"/>
  <c r="E56" i="31"/>
  <c r="D56" i="31"/>
  <c r="C56" i="31"/>
  <c r="G50" i="31"/>
  <c r="H50" i="31" s="1"/>
  <c r="H49" i="31"/>
  <c r="G49" i="31"/>
  <c r="H48" i="31"/>
  <c r="G48" i="31"/>
  <c r="F41" i="31"/>
  <c r="E41" i="31"/>
  <c r="D41" i="31"/>
  <c r="C41" i="31"/>
  <c r="G40" i="31"/>
  <c r="H40" i="31" s="1"/>
  <c r="J39" i="31"/>
  <c r="H39" i="31"/>
  <c r="G39" i="31"/>
  <c r="G38" i="31"/>
  <c r="J37" i="31"/>
  <c r="H37" i="31"/>
  <c r="G37" i="31"/>
  <c r="G36" i="31"/>
  <c r="H35" i="31"/>
  <c r="G35" i="31"/>
  <c r="G34" i="31"/>
  <c r="J34" i="31" s="1"/>
  <c r="J33" i="31"/>
  <c r="G33" i="31"/>
  <c r="J32" i="31"/>
  <c r="H32" i="31"/>
  <c r="G32" i="31"/>
  <c r="H31" i="31"/>
  <c r="G31" i="31"/>
  <c r="J31" i="31" s="1"/>
  <c r="G30" i="31"/>
  <c r="J29" i="31"/>
  <c r="H29" i="31"/>
  <c r="G29" i="31"/>
  <c r="G28" i="31"/>
  <c r="J28" i="31" s="1"/>
  <c r="J27" i="31"/>
  <c r="G27" i="31"/>
  <c r="J26" i="31"/>
  <c r="H26" i="31"/>
  <c r="G26" i="31"/>
  <c r="H25" i="31"/>
  <c r="G25" i="31"/>
  <c r="J25" i="31" s="1"/>
  <c r="G24" i="31"/>
  <c r="J23" i="31"/>
  <c r="H23" i="31"/>
  <c r="G23" i="31"/>
  <c r="G22" i="31"/>
  <c r="J22" i="31" s="1"/>
  <c r="J21" i="31"/>
  <c r="G21" i="31"/>
  <c r="J20" i="31"/>
  <c r="H20" i="31"/>
  <c r="G20" i="31"/>
  <c r="H19" i="31"/>
  <c r="G19" i="31"/>
  <c r="J19" i="31" s="1"/>
  <c r="G18" i="31"/>
  <c r="J17" i="31"/>
  <c r="H17" i="31"/>
  <c r="G17" i="31"/>
  <c r="G16" i="31"/>
  <c r="J16" i="31" s="1"/>
  <c r="J15" i="31"/>
  <c r="G15" i="31"/>
  <c r="J14" i="31"/>
  <c r="H14" i="31"/>
  <c r="G14" i="31"/>
  <c r="H13" i="31"/>
  <c r="G13" i="31"/>
  <c r="J13" i="31" s="1"/>
  <c r="G12" i="31"/>
  <c r="J11" i="31"/>
  <c r="H11" i="31"/>
  <c r="G11" i="31"/>
  <c r="G10" i="31"/>
  <c r="J10" i="31" s="1"/>
  <c r="J9" i="31"/>
  <c r="G9" i="31"/>
  <c r="G62" i="30"/>
  <c r="G61" i="30"/>
  <c r="G60" i="30"/>
  <c r="G59" i="30"/>
  <c r="E54" i="30"/>
  <c r="D54" i="30"/>
  <c r="C54" i="30"/>
  <c r="E53" i="30"/>
  <c r="D53" i="30"/>
  <c r="C53" i="30"/>
  <c r="G47" i="30"/>
  <c r="H47" i="30" s="1"/>
  <c r="H46" i="30"/>
  <c r="G46" i="30"/>
  <c r="H45" i="30"/>
  <c r="G45" i="30"/>
  <c r="F38" i="30"/>
  <c r="E38" i="30"/>
  <c r="D38" i="30"/>
  <c r="C38" i="30"/>
  <c r="G37" i="30"/>
  <c r="H37" i="30" s="1"/>
  <c r="H36" i="30"/>
  <c r="G36" i="30"/>
  <c r="J36" i="30" s="1"/>
  <c r="H35" i="30"/>
  <c r="G35" i="30"/>
  <c r="H34" i="30"/>
  <c r="G34" i="30"/>
  <c r="H33" i="30"/>
  <c r="G33" i="30"/>
  <c r="J32" i="30"/>
  <c r="G32" i="30"/>
  <c r="H32" i="30" s="1"/>
  <c r="J31" i="30"/>
  <c r="H31" i="30"/>
  <c r="G31" i="30"/>
  <c r="G30" i="30"/>
  <c r="J29" i="30"/>
  <c r="G29" i="30"/>
  <c r="H29" i="30" s="1"/>
  <c r="G28" i="30"/>
  <c r="H27" i="30"/>
  <c r="G27" i="30"/>
  <c r="J26" i="30"/>
  <c r="G26" i="30"/>
  <c r="H26" i="30" s="1"/>
  <c r="J25" i="30"/>
  <c r="H25" i="30"/>
  <c r="G25" i="30"/>
  <c r="G24" i="30"/>
  <c r="J23" i="30"/>
  <c r="G23" i="30"/>
  <c r="H23" i="30" s="1"/>
  <c r="G22" i="30"/>
  <c r="H21" i="30"/>
  <c r="G21" i="30"/>
  <c r="J20" i="30"/>
  <c r="G20" i="30"/>
  <c r="H20" i="30" s="1"/>
  <c r="J19" i="30"/>
  <c r="H19" i="30"/>
  <c r="G19" i="30"/>
  <c r="G18" i="30"/>
  <c r="J17" i="30"/>
  <c r="G17" i="30"/>
  <c r="H17" i="30" s="1"/>
  <c r="G16" i="30"/>
  <c r="H15" i="30"/>
  <c r="G15" i="30"/>
  <c r="H14" i="30"/>
  <c r="G14" i="30"/>
  <c r="H13" i="30"/>
  <c r="G13" i="30"/>
  <c r="J13" i="30" s="1"/>
  <c r="G12" i="30"/>
  <c r="H12" i="30" s="1"/>
  <c r="J11" i="30"/>
  <c r="H11" i="30"/>
  <c r="G11" i="30"/>
  <c r="G10" i="30"/>
  <c r="H10" i="30" s="1"/>
  <c r="H9" i="30"/>
  <c r="G9" i="30"/>
  <c r="G67" i="29"/>
  <c r="G66" i="29"/>
  <c r="G65" i="29"/>
  <c r="G64" i="29"/>
  <c r="E59" i="29"/>
  <c r="D59" i="29"/>
  <c r="C59" i="29"/>
  <c r="E58" i="29"/>
  <c r="D58" i="29"/>
  <c r="C58" i="29"/>
  <c r="H52" i="29"/>
  <c r="G52" i="29"/>
  <c r="G51" i="29"/>
  <c r="H51" i="29" s="1"/>
  <c r="G50" i="29"/>
  <c r="H50" i="29" s="1"/>
  <c r="F43" i="29"/>
  <c r="E43" i="29"/>
  <c r="D43" i="29"/>
  <c r="C43" i="29"/>
  <c r="H42" i="29"/>
  <c r="G42" i="29"/>
  <c r="G41" i="29"/>
  <c r="H40" i="29"/>
  <c r="G40" i="29"/>
  <c r="G39" i="29"/>
  <c r="J38" i="29"/>
  <c r="H38" i="29"/>
  <c r="G38" i="29"/>
  <c r="H37" i="29"/>
  <c r="G37" i="29"/>
  <c r="J37" i="29" s="1"/>
  <c r="G36" i="29"/>
  <c r="J35" i="29"/>
  <c r="H35" i="29"/>
  <c r="G35" i="29"/>
  <c r="G34" i="29"/>
  <c r="J34" i="29" s="1"/>
  <c r="J33" i="29"/>
  <c r="G33" i="29"/>
  <c r="J32" i="29"/>
  <c r="H32" i="29"/>
  <c r="G32" i="29"/>
  <c r="H31" i="29"/>
  <c r="G31" i="29"/>
  <c r="J31" i="29" s="1"/>
  <c r="G30" i="29"/>
  <c r="J29" i="29"/>
  <c r="H29" i="29"/>
  <c r="G29" i="29"/>
  <c r="G28" i="29"/>
  <c r="J28" i="29" s="1"/>
  <c r="J27" i="29"/>
  <c r="G27" i="29"/>
  <c r="J26" i="29"/>
  <c r="H26" i="29"/>
  <c r="G26" i="29"/>
  <c r="H25" i="29"/>
  <c r="G25" i="29"/>
  <c r="J25" i="29" s="1"/>
  <c r="G24" i="29"/>
  <c r="J23" i="29"/>
  <c r="H23" i="29"/>
  <c r="G23" i="29"/>
  <c r="G22" i="29"/>
  <c r="J22" i="29" s="1"/>
  <c r="J21" i="29"/>
  <c r="G21" i="29"/>
  <c r="J20" i="29"/>
  <c r="H20" i="29"/>
  <c r="G20" i="29"/>
  <c r="H19" i="29"/>
  <c r="G19" i="29"/>
  <c r="J19" i="29" s="1"/>
  <c r="G18" i="29"/>
  <c r="J17" i="29"/>
  <c r="H17" i="29"/>
  <c r="G17" i="29"/>
  <c r="G16" i="29"/>
  <c r="J16" i="29" s="1"/>
  <c r="J15" i="29"/>
  <c r="G15" i="29"/>
  <c r="J14" i="29"/>
  <c r="H14" i="29"/>
  <c r="G14" i="29"/>
  <c r="H13" i="29"/>
  <c r="G13" i="29"/>
  <c r="J13" i="29" s="1"/>
  <c r="G12" i="29"/>
  <c r="J11" i="29"/>
  <c r="H11" i="29"/>
  <c r="G11" i="29"/>
  <c r="G10" i="29"/>
  <c r="J10" i="29" s="1"/>
  <c r="J9" i="29"/>
  <c r="G9" i="29"/>
  <c r="G63" i="28"/>
  <c r="G62" i="28"/>
  <c r="G61" i="28"/>
  <c r="G60" i="28"/>
  <c r="E55" i="28"/>
  <c r="D55" i="28"/>
  <c r="C55" i="28"/>
  <c r="E54" i="28"/>
  <c r="D54" i="28"/>
  <c r="C54" i="28"/>
  <c r="G48" i="28"/>
  <c r="H48" i="28" s="1"/>
  <c r="H47" i="28"/>
  <c r="G47" i="28"/>
  <c r="H46" i="28"/>
  <c r="G46" i="28"/>
  <c r="F39" i="28"/>
  <c r="E39" i="28"/>
  <c r="D39" i="28"/>
  <c r="C39" i="28"/>
  <c r="G38" i="28"/>
  <c r="H38" i="28" s="1"/>
  <c r="G37" i="28"/>
  <c r="J36" i="28"/>
  <c r="G36" i="28"/>
  <c r="J35" i="28"/>
  <c r="H35" i="28"/>
  <c r="G35" i="28"/>
  <c r="H34" i="28"/>
  <c r="G34" i="28"/>
  <c r="J33" i="28"/>
  <c r="G33" i="28"/>
  <c r="H33" i="28" s="1"/>
  <c r="J32" i="28"/>
  <c r="H32" i="28"/>
  <c r="G32" i="28"/>
  <c r="G31" i="28"/>
  <c r="J30" i="28"/>
  <c r="G30" i="28"/>
  <c r="H30" i="28" s="1"/>
  <c r="G29" i="28"/>
  <c r="H28" i="28"/>
  <c r="G28" i="28"/>
  <c r="H27" i="28"/>
  <c r="G27" i="28"/>
  <c r="H26" i="28"/>
  <c r="G26" i="28"/>
  <c r="J26" i="28" s="1"/>
  <c r="G25" i="28"/>
  <c r="J25" i="28" s="1"/>
  <c r="J24" i="28"/>
  <c r="H24" i="28"/>
  <c r="G24" i="28"/>
  <c r="G23" i="28"/>
  <c r="J23" i="28" s="1"/>
  <c r="J22" i="28"/>
  <c r="G22" i="28"/>
  <c r="J21" i="28"/>
  <c r="H21" i="28"/>
  <c r="G21" i="28"/>
  <c r="H20" i="28"/>
  <c r="G20" i="28"/>
  <c r="J20" i="28" s="1"/>
  <c r="G19" i="28"/>
  <c r="J19" i="28" s="1"/>
  <c r="J18" i="28"/>
  <c r="H18" i="28"/>
  <c r="G18" i="28"/>
  <c r="G17" i="28"/>
  <c r="J17" i="28" s="1"/>
  <c r="J16" i="28"/>
  <c r="G16" i="28"/>
  <c r="J15" i="28"/>
  <c r="H15" i="28"/>
  <c r="G15" i="28"/>
  <c r="H14" i="28"/>
  <c r="G14" i="28"/>
  <c r="J14" i="28" s="1"/>
  <c r="G13" i="28"/>
  <c r="J13" i="28" s="1"/>
  <c r="J12" i="28"/>
  <c r="H12" i="28"/>
  <c r="G12" i="28"/>
  <c r="G11" i="28"/>
  <c r="J11" i="28" s="1"/>
  <c r="J10" i="28"/>
  <c r="G10" i="28"/>
  <c r="J9" i="28"/>
  <c r="H9" i="28"/>
  <c r="G9" i="28"/>
  <c r="G73" i="27"/>
  <c r="G72" i="27"/>
  <c r="G71" i="27"/>
  <c r="G70" i="27"/>
  <c r="E65" i="27"/>
  <c r="D65" i="27"/>
  <c r="C65" i="27"/>
  <c r="E64" i="27"/>
  <c r="D64" i="27"/>
  <c r="C64" i="27"/>
  <c r="H58" i="27"/>
  <c r="G58" i="27"/>
  <c r="G57" i="27"/>
  <c r="H57" i="27" s="1"/>
  <c r="H56" i="27"/>
  <c r="G56" i="27"/>
  <c r="F49" i="27"/>
  <c r="E49" i="27"/>
  <c r="D49" i="27"/>
  <c r="C49" i="27"/>
  <c r="H48" i="27"/>
  <c r="G48" i="27"/>
  <c r="G47" i="27"/>
  <c r="G46" i="27"/>
  <c r="H46" i="27" s="1"/>
  <c r="G45" i="27"/>
  <c r="J44" i="27"/>
  <c r="H44" i="27"/>
  <c r="G44" i="27"/>
  <c r="H43" i="27"/>
  <c r="G43" i="27"/>
  <c r="J43" i="27" s="1"/>
  <c r="J42" i="27"/>
  <c r="G42" i="27"/>
  <c r="G41" i="27"/>
  <c r="G40" i="27"/>
  <c r="J39" i="27"/>
  <c r="H39" i="27"/>
  <c r="G39" i="27"/>
  <c r="H38" i="27"/>
  <c r="G38" i="27"/>
  <c r="J37" i="27"/>
  <c r="G37" i="27"/>
  <c r="H37" i="27" s="1"/>
  <c r="J36" i="27"/>
  <c r="H36" i="27"/>
  <c r="G36" i="27"/>
  <c r="G35" i="27"/>
  <c r="H35" i="27" s="1"/>
  <c r="J34" i="27"/>
  <c r="G34" i="27"/>
  <c r="H34" i="27" s="1"/>
  <c r="G33" i="27"/>
  <c r="H33" i="27" s="1"/>
  <c r="H32" i="27"/>
  <c r="G32" i="27"/>
  <c r="J31" i="27"/>
  <c r="G31" i="27"/>
  <c r="H31" i="27" s="1"/>
  <c r="J30" i="27"/>
  <c r="H30" i="27"/>
  <c r="G30" i="27"/>
  <c r="G29" i="27"/>
  <c r="J29" i="27" s="1"/>
  <c r="J28" i="27"/>
  <c r="G28" i="27"/>
  <c r="H28" i="27" s="1"/>
  <c r="G27" i="27"/>
  <c r="H26" i="27"/>
  <c r="G26" i="27"/>
  <c r="J26" i="27" s="1"/>
  <c r="G25" i="27"/>
  <c r="H25" i="27" s="1"/>
  <c r="J24" i="27"/>
  <c r="G24" i="27"/>
  <c r="H24" i="27" s="1"/>
  <c r="H23" i="27"/>
  <c r="G23" i="27"/>
  <c r="J23" i="27" s="1"/>
  <c r="J22" i="27"/>
  <c r="G22" i="27"/>
  <c r="H22" i="27" s="1"/>
  <c r="J21" i="27"/>
  <c r="H21" i="27"/>
  <c r="G21" i="27"/>
  <c r="G20" i="27"/>
  <c r="J20" i="27" s="1"/>
  <c r="J19" i="27"/>
  <c r="G19" i="27"/>
  <c r="H19" i="27" s="1"/>
  <c r="G18" i="27"/>
  <c r="H17" i="27"/>
  <c r="G17" i="27"/>
  <c r="J17" i="27" s="1"/>
  <c r="G16" i="27"/>
  <c r="H16" i="27" s="1"/>
  <c r="J15" i="27"/>
  <c r="G15" i="27"/>
  <c r="H15" i="27" s="1"/>
  <c r="H14" i="27"/>
  <c r="G14" i="27"/>
  <c r="J14" i="27" s="1"/>
  <c r="J13" i="27"/>
  <c r="G13" i="27"/>
  <c r="H13" i="27" s="1"/>
  <c r="J12" i="27"/>
  <c r="H12" i="27"/>
  <c r="G12" i="27"/>
  <c r="G11" i="27"/>
  <c r="J11" i="27" s="1"/>
  <c r="J10" i="27"/>
  <c r="G10" i="27"/>
  <c r="H10" i="27" s="1"/>
  <c r="G9" i="27"/>
  <c r="G65" i="26"/>
  <c r="G64" i="26"/>
  <c r="G63" i="26"/>
  <c r="G62" i="26"/>
  <c r="E57" i="26"/>
  <c r="D57" i="26"/>
  <c r="C57" i="26"/>
  <c r="E56" i="26"/>
  <c r="D56" i="26"/>
  <c r="C56" i="26"/>
  <c r="G50" i="26"/>
  <c r="H50" i="26" s="1"/>
  <c r="G49" i="26"/>
  <c r="H49" i="26" s="1"/>
  <c r="H48" i="26"/>
  <c r="G48" i="26"/>
  <c r="F41" i="26"/>
  <c r="E41" i="26"/>
  <c r="D41" i="26"/>
  <c r="C41" i="26"/>
  <c r="J40" i="26"/>
  <c r="G40" i="26"/>
  <c r="H40" i="26" s="1"/>
  <c r="H39" i="26"/>
  <c r="G39" i="26"/>
  <c r="J39" i="26" s="1"/>
  <c r="J38" i="26"/>
  <c r="G38" i="26"/>
  <c r="H38" i="26" s="1"/>
  <c r="H37" i="26"/>
  <c r="G37" i="26"/>
  <c r="G36" i="26"/>
  <c r="H36" i="26" s="1"/>
  <c r="H35" i="26"/>
  <c r="G35" i="26"/>
  <c r="J35" i="26" s="1"/>
  <c r="G34" i="26"/>
  <c r="J34" i="26" s="1"/>
  <c r="J33" i="26"/>
  <c r="G33" i="26"/>
  <c r="H33" i="26" s="1"/>
  <c r="G32" i="26"/>
  <c r="H32" i="26" s="1"/>
  <c r="H31" i="26"/>
  <c r="G31" i="26"/>
  <c r="J31" i="26" s="1"/>
  <c r="G30" i="26"/>
  <c r="H30" i="26" s="1"/>
  <c r="J29" i="26"/>
  <c r="H29" i="26"/>
  <c r="G29" i="26"/>
  <c r="G28" i="26"/>
  <c r="J27" i="26"/>
  <c r="H27" i="26"/>
  <c r="G27" i="26"/>
  <c r="H26" i="26"/>
  <c r="G26" i="26"/>
  <c r="J26" i="26" s="1"/>
  <c r="J25" i="26"/>
  <c r="G25" i="26"/>
  <c r="H25" i="26" s="1"/>
  <c r="J24" i="26"/>
  <c r="H24" i="26"/>
  <c r="G24" i="26"/>
  <c r="G23" i="26"/>
  <c r="J22" i="26"/>
  <c r="H22" i="26"/>
  <c r="G22" i="26"/>
  <c r="J21" i="26"/>
  <c r="H21" i="26"/>
  <c r="G21" i="26"/>
  <c r="G20" i="26"/>
  <c r="H20" i="26" s="1"/>
  <c r="J19" i="26"/>
  <c r="H19" i="26"/>
  <c r="G19" i="26"/>
  <c r="J18" i="26"/>
  <c r="H18" i="26"/>
  <c r="G18" i="26"/>
  <c r="J17" i="26"/>
  <c r="G17" i="26"/>
  <c r="H17" i="26" s="1"/>
  <c r="G16" i="26"/>
  <c r="H16" i="26" s="1"/>
  <c r="J15" i="26"/>
  <c r="G15" i="26"/>
  <c r="H15" i="26" s="1"/>
  <c r="G14" i="26"/>
  <c r="J13" i="26"/>
  <c r="H13" i="26"/>
  <c r="G13" i="26"/>
  <c r="J12" i="26"/>
  <c r="H12" i="26"/>
  <c r="G12" i="26"/>
  <c r="G11" i="26"/>
  <c r="J11" i="26" s="1"/>
  <c r="H10" i="26"/>
  <c r="G10" i="26"/>
  <c r="G41" i="26" s="1"/>
  <c r="G9" i="26"/>
  <c r="H9" i="26" s="1"/>
  <c r="G63" i="25"/>
  <c r="G62" i="25"/>
  <c r="G61" i="25"/>
  <c r="G60" i="25"/>
  <c r="E55" i="25"/>
  <c r="D55" i="25"/>
  <c r="C55" i="25"/>
  <c r="E54" i="25"/>
  <c r="D54" i="25"/>
  <c r="C54" i="25"/>
  <c r="G48" i="25"/>
  <c r="H48" i="25" s="1"/>
  <c r="G47" i="25"/>
  <c r="H47" i="25" s="1"/>
  <c r="H46" i="25"/>
  <c r="G46" i="25"/>
  <c r="F39" i="25"/>
  <c r="E39" i="25"/>
  <c r="D39" i="25"/>
  <c r="C39" i="25"/>
  <c r="G38" i="25"/>
  <c r="H38" i="25" s="1"/>
  <c r="G37" i="25"/>
  <c r="H37" i="25" s="1"/>
  <c r="H36" i="25"/>
  <c r="G36" i="25"/>
  <c r="J35" i="25"/>
  <c r="H35" i="25"/>
  <c r="G35" i="25"/>
  <c r="H34" i="25"/>
  <c r="G34" i="25"/>
  <c r="H33" i="25"/>
  <c r="G33" i="25"/>
  <c r="J32" i="25"/>
  <c r="H32" i="25"/>
  <c r="G32" i="25"/>
  <c r="G31" i="25"/>
  <c r="J30" i="25"/>
  <c r="H30" i="25"/>
  <c r="G30" i="25"/>
  <c r="J29" i="25"/>
  <c r="H29" i="25"/>
  <c r="G29" i="25"/>
  <c r="G28" i="25"/>
  <c r="J28" i="25" s="1"/>
  <c r="J27" i="25"/>
  <c r="H27" i="25"/>
  <c r="G27" i="25"/>
  <c r="H26" i="25"/>
  <c r="G26" i="25"/>
  <c r="J26" i="25" s="1"/>
  <c r="G25" i="25"/>
  <c r="H25" i="25" s="1"/>
  <c r="H24" i="25"/>
  <c r="G24" i="25"/>
  <c r="J24" i="25" s="1"/>
  <c r="G23" i="25"/>
  <c r="J23" i="25" s="1"/>
  <c r="G22" i="25"/>
  <c r="H22" i="25" s="1"/>
  <c r="G21" i="25"/>
  <c r="H21" i="25" s="1"/>
  <c r="H20" i="25"/>
  <c r="G20" i="25"/>
  <c r="J20" i="25" s="1"/>
  <c r="G19" i="25"/>
  <c r="H19" i="25" s="1"/>
  <c r="J18" i="25"/>
  <c r="H18" i="25"/>
  <c r="G18" i="25"/>
  <c r="G17" i="25"/>
  <c r="J17" i="25" s="1"/>
  <c r="J16" i="25"/>
  <c r="G16" i="25"/>
  <c r="H16" i="25" s="1"/>
  <c r="H15" i="25"/>
  <c r="G15" i="25"/>
  <c r="J15" i="25" s="1"/>
  <c r="G14" i="25"/>
  <c r="J14" i="25" s="1"/>
  <c r="G13" i="25"/>
  <c r="H13" i="25" s="1"/>
  <c r="G12" i="25"/>
  <c r="H12" i="25" s="1"/>
  <c r="H11" i="25"/>
  <c r="G11" i="25"/>
  <c r="J10" i="25"/>
  <c r="H10" i="25"/>
  <c r="G10" i="25"/>
  <c r="J9" i="25"/>
  <c r="H9" i="25"/>
  <c r="G9" i="25"/>
  <c r="G67" i="24"/>
  <c r="G66" i="24"/>
  <c r="G65" i="24"/>
  <c r="G64" i="24"/>
  <c r="E59" i="24"/>
  <c r="D59" i="24"/>
  <c r="C59" i="24"/>
  <c r="E58" i="24"/>
  <c r="D58" i="24"/>
  <c r="C58" i="24"/>
  <c r="H52" i="24"/>
  <c r="G52" i="24"/>
  <c r="H51" i="24"/>
  <c r="G51" i="24"/>
  <c r="H50" i="24"/>
  <c r="G50" i="24"/>
  <c r="F43" i="24"/>
  <c r="E43" i="24"/>
  <c r="D43" i="24"/>
  <c r="C43" i="24"/>
  <c r="H42" i="24"/>
  <c r="G42" i="24"/>
  <c r="H41" i="24"/>
  <c r="G41" i="24"/>
  <c r="J40" i="24"/>
  <c r="H40" i="24"/>
  <c r="G40" i="24"/>
  <c r="G39" i="24"/>
  <c r="J39" i="24" s="1"/>
  <c r="H38" i="24"/>
  <c r="G38" i="24"/>
  <c r="G37" i="24"/>
  <c r="H37" i="24" s="1"/>
  <c r="H36" i="24"/>
  <c r="G36" i="24"/>
  <c r="G35" i="24"/>
  <c r="J35" i="24" s="1"/>
  <c r="H34" i="24"/>
  <c r="G34" i="24"/>
  <c r="G33" i="24"/>
  <c r="H33" i="24" s="1"/>
  <c r="G32" i="24"/>
  <c r="H32" i="24" s="1"/>
  <c r="G31" i="24"/>
  <c r="H31" i="24" s="1"/>
  <c r="H30" i="24"/>
  <c r="G30" i="24"/>
  <c r="J30" i="24" s="1"/>
  <c r="G29" i="24"/>
  <c r="H29" i="24" s="1"/>
  <c r="J28" i="24"/>
  <c r="H28" i="24"/>
  <c r="G28" i="24"/>
  <c r="G27" i="24"/>
  <c r="J27" i="24" s="1"/>
  <c r="J26" i="24"/>
  <c r="G26" i="24"/>
  <c r="H26" i="24" s="1"/>
  <c r="H25" i="24"/>
  <c r="G25" i="24"/>
  <c r="J25" i="24" s="1"/>
  <c r="G24" i="24"/>
  <c r="J24" i="24" s="1"/>
  <c r="G23" i="24"/>
  <c r="H23" i="24" s="1"/>
  <c r="G22" i="24"/>
  <c r="H22" i="24" s="1"/>
  <c r="H21" i="24"/>
  <c r="G21" i="24"/>
  <c r="J21" i="24" s="1"/>
  <c r="H20" i="24"/>
  <c r="G20" i="24"/>
  <c r="J19" i="24"/>
  <c r="H19" i="24"/>
  <c r="G19" i="24"/>
  <c r="G18" i="24"/>
  <c r="J17" i="24"/>
  <c r="H17" i="24"/>
  <c r="G17" i="24"/>
  <c r="J16" i="24"/>
  <c r="H16" i="24"/>
  <c r="G16" i="24"/>
  <c r="G15" i="24"/>
  <c r="J15" i="24" s="1"/>
  <c r="J14" i="24"/>
  <c r="H14" i="24"/>
  <c r="G14" i="24"/>
  <c r="H13" i="24"/>
  <c r="G13" i="24"/>
  <c r="J13" i="24" s="1"/>
  <c r="J12" i="24"/>
  <c r="G12" i="24"/>
  <c r="H12" i="24" s="1"/>
  <c r="J11" i="24"/>
  <c r="H11" i="24"/>
  <c r="G11" i="24"/>
  <c r="G10" i="24"/>
  <c r="J9" i="24"/>
  <c r="H9" i="24"/>
  <c r="G9" i="24"/>
  <c r="G65" i="23"/>
  <c r="G64" i="23"/>
  <c r="G63" i="23"/>
  <c r="G62" i="23"/>
  <c r="E57" i="23"/>
  <c r="D57" i="23"/>
  <c r="C57" i="23"/>
  <c r="E56" i="23"/>
  <c r="D56" i="23"/>
  <c r="C56" i="23"/>
  <c r="H50" i="23"/>
  <c r="G50" i="23"/>
  <c r="G49" i="23"/>
  <c r="H49" i="23" s="1"/>
  <c r="H48" i="23"/>
  <c r="G48" i="23"/>
  <c r="F41" i="23"/>
  <c r="E41" i="23"/>
  <c r="D41" i="23"/>
  <c r="C41" i="23"/>
  <c r="G40" i="23"/>
  <c r="H40" i="23" s="1"/>
  <c r="J39" i="23"/>
  <c r="G39" i="23"/>
  <c r="H39" i="23" s="1"/>
  <c r="H38" i="23"/>
  <c r="G38" i="23"/>
  <c r="J38" i="23" s="1"/>
  <c r="J37" i="23"/>
  <c r="G37" i="23"/>
  <c r="H37" i="23" s="1"/>
  <c r="J36" i="23"/>
  <c r="H36" i="23"/>
  <c r="G36" i="23"/>
  <c r="G35" i="23"/>
  <c r="H35" i="23" s="1"/>
  <c r="H34" i="23"/>
  <c r="G34" i="23"/>
  <c r="G33" i="23"/>
  <c r="J33" i="23" s="1"/>
  <c r="G32" i="23"/>
  <c r="H32" i="23" s="1"/>
  <c r="G31" i="23"/>
  <c r="H31" i="23" s="1"/>
  <c r="H30" i="23"/>
  <c r="G30" i="23"/>
  <c r="J30" i="23" s="1"/>
  <c r="G29" i="23"/>
  <c r="H29" i="23" s="1"/>
  <c r="J28" i="23"/>
  <c r="H28" i="23"/>
  <c r="G28" i="23"/>
  <c r="G27" i="23"/>
  <c r="J27" i="23" s="1"/>
  <c r="J26" i="23"/>
  <c r="G26" i="23"/>
  <c r="H26" i="23" s="1"/>
  <c r="H25" i="23"/>
  <c r="G25" i="23"/>
  <c r="J25" i="23" s="1"/>
  <c r="G24" i="23"/>
  <c r="J24" i="23" s="1"/>
  <c r="G23" i="23"/>
  <c r="H23" i="23" s="1"/>
  <c r="G22" i="23"/>
  <c r="H22" i="23" s="1"/>
  <c r="H21" i="23"/>
  <c r="G21" i="23"/>
  <c r="J21" i="23" s="1"/>
  <c r="G20" i="23"/>
  <c r="H20" i="23" s="1"/>
  <c r="J19" i="23"/>
  <c r="H19" i="23"/>
  <c r="G19" i="23"/>
  <c r="G18" i="23"/>
  <c r="J18" i="23" s="1"/>
  <c r="J17" i="23"/>
  <c r="G17" i="23"/>
  <c r="H17" i="23" s="1"/>
  <c r="H16" i="23"/>
  <c r="G16" i="23"/>
  <c r="J16" i="23" s="1"/>
  <c r="G15" i="23"/>
  <c r="J15" i="23" s="1"/>
  <c r="G14" i="23"/>
  <c r="H14" i="23" s="1"/>
  <c r="G13" i="23"/>
  <c r="H13" i="23" s="1"/>
  <c r="H12" i="23"/>
  <c r="G12" i="23"/>
  <c r="J12" i="23" s="1"/>
  <c r="H11" i="23"/>
  <c r="G11" i="23"/>
  <c r="H10" i="23"/>
  <c r="G10" i="23"/>
  <c r="G9" i="23"/>
  <c r="J9" i="23" s="1"/>
  <c r="G53" i="22"/>
  <c r="G52" i="22"/>
  <c r="G51" i="22"/>
  <c r="G50" i="22"/>
  <c r="E45" i="22"/>
  <c r="D45" i="22"/>
  <c r="C45" i="22"/>
  <c r="E44" i="22"/>
  <c r="D44" i="22"/>
  <c r="C44" i="22"/>
  <c r="G38" i="22"/>
  <c r="H38" i="22" s="1"/>
  <c r="G37" i="22"/>
  <c r="H37" i="22" s="1"/>
  <c r="H36" i="22"/>
  <c r="G36" i="22"/>
  <c r="F29" i="22"/>
  <c r="E29" i="22"/>
  <c r="D29" i="22"/>
  <c r="C29" i="22"/>
  <c r="H28" i="22"/>
  <c r="G28" i="22"/>
  <c r="G27" i="22"/>
  <c r="J26" i="22"/>
  <c r="H26" i="22"/>
  <c r="G26" i="22"/>
  <c r="J25" i="22"/>
  <c r="H25" i="22"/>
  <c r="G25" i="22"/>
  <c r="G24" i="22"/>
  <c r="H24" i="22" s="1"/>
  <c r="J23" i="22"/>
  <c r="H23" i="22"/>
  <c r="G23" i="22"/>
  <c r="J22" i="22"/>
  <c r="H22" i="22"/>
  <c r="G22" i="22"/>
  <c r="J21" i="22"/>
  <c r="G21" i="22"/>
  <c r="H21" i="22" s="1"/>
  <c r="H20" i="22"/>
  <c r="G20" i="22"/>
  <c r="G19" i="22"/>
  <c r="H19" i="22" s="1"/>
  <c r="H18" i="22"/>
  <c r="G18" i="22"/>
  <c r="J18" i="22" s="1"/>
  <c r="J17" i="22"/>
  <c r="G17" i="22"/>
  <c r="H17" i="22" s="1"/>
  <c r="J16" i="22"/>
  <c r="H16" i="22"/>
  <c r="G16" i="22"/>
  <c r="G15" i="22"/>
  <c r="J15" i="22" s="1"/>
  <c r="J14" i="22"/>
  <c r="H14" i="22"/>
  <c r="G14" i="22"/>
  <c r="H13" i="22"/>
  <c r="G13" i="22"/>
  <c r="J13" i="22" s="1"/>
  <c r="G12" i="22"/>
  <c r="H12" i="22" s="1"/>
  <c r="H11" i="22"/>
  <c r="G11" i="22"/>
  <c r="G10" i="22"/>
  <c r="J9" i="22"/>
  <c r="G9" i="22"/>
  <c r="H9" i="22" s="1"/>
  <c r="G70" i="21"/>
  <c r="G69" i="21"/>
  <c r="G68" i="21"/>
  <c r="G67" i="21"/>
  <c r="E62" i="21"/>
  <c r="D62" i="21"/>
  <c r="C62" i="21"/>
  <c r="E61" i="21"/>
  <c r="D61" i="21"/>
  <c r="C61" i="21"/>
  <c r="G55" i="21"/>
  <c r="H55" i="21" s="1"/>
  <c r="G54" i="21"/>
  <c r="H54" i="21" s="1"/>
  <c r="H53" i="21"/>
  <c r="G53" i="21"/>
  <c r="F46" i="21"/>
  <c r="E46" i="21"/>
  <c r="D46" i="21"/>
  <c r="C46" i="21"/>
  <c r="H45" i="21"/>
  <c r="G45" i="21"/>
  <c r="H44" i="21"/>
  <c r="G44" i="21"/>
  <c r="J44" i="21" s="1"/>
  <c r="G43" i="21"/>
  <c r="H43" i="21" s="1"/>
  <c r="J42" i="21"/>
  <c r="H42" i="21"/>
  <c r="G42" i="21"/>
  <c r="G41" i="21"/>
  <c r="J40" i="21"/>
  <c r="G40" i="21"/>
  <c r="H40" i="21" s="1"/>
  <c r="H39" i="21"/>
  <c r="G39" i="21"/>
  <c r="G38" i="21"/>
  <c r="H38" i="21" s="1"/>
  <c r="H37" i="21"/>
  <c r="G37" i="21"/>
  <c r="G36" i="21"/>
  <c r="H36" i="21" s="1"/>
  <c r="J35" i="21"/>
  <c r="H35" i="21"/>
  <c r="G35" i="21"/>
  <c r="H34" i="21"/>
  <c r="G34" i="21"/>
  <c r="J34" i="21" s="1"/>
  <c r="G33" i="21"/>
  <c r="H33" i="21" s="1"/>
  <c r="J32" i="21"/>
  <c r="H32" i="21"/>
  <c r="G32" i="21"/>
  <c r="H31" i="21"/>
  <c r="G31" i="21"/>
  <c r="J31" i="21" s="1"/>
  <c r="G30" i="21"/>
  <c r="H30" i="21" s="1"/>
  <c r="J29" i="21"/>
  <c r="H29" i="21"/>
  <c r="G29" i="21"/>
  <c r="H28" i="21"/>
  <c r="G28" i="21"/>
  <c r="J28" i="21" s="1"/>
  <c r="G27" i="21"/>
  <c r="H27" i="21" s="1"/>
  <c r="J26" i="21"/>
  <c r="H26" i="21"/>
  <c r="G26" i="21"/>
  <c r="H25" i="21"/>
  <c r="G25" i="21"/>
  <c r="J25" i="21" s="1"/>
  <c r="G24" i="21"/>
  <c r="H24" i="21" s="1"/>
  <c r="J23" i="21"/>
  <c r="H23" i="21"/>
  <c r="G23" i="21"/>
  <c r="H22" i="21"/>
  <c r="G22" i="21"/>
  <c r="J22" i="21" s="1"/>
  <c r="G21" i="21"/>
  <c r="H21" i="21" s="1"/>
  <c r="J20" i="21"/>
  <c r="H20" i="21"/>
  <c r="G20" i="21"/>
  <c r="H19" i="21"/>
  <c r="G19" i="21"/>
  <c r="J19" i="21" s="1"/>
  <c r="G18" i="21"/>
  <c r="H18" i="21" s="1"/>
  <c r="J17" i="21"/>
  <c r="H17" i="21"/>
  <c r="G17" i="21"/>
  <c r="H16" i="21"/>
  <c r="G16" i="21"/>
  <c r="J16" i="21" s="1"/>
  <c r="G15" i="21"/>
  <c r="H15" i="21" s="1"/>
  <c r="J14" i="21"/>
  <c r="H14" i="21"/>
  <c r="G14" i="21"/>
  <c r="H13" i="21"/>
  <c r="G13" i="21"/>
  <c r="J13" i="21" s="1"/>
  <c r="G12" i="21"/>
  <c r="H12" i="21" s="1"/>
  <c r="J11" i="21"/>
  <c r="H11" i="21"/>
  <c r="G11" i="21"/>
  <c r="H10" i="21"/>
  <c r="G10" i="21"/>
  <c r="J10" i="21" s="1"/>
  <c r="G9" i="21"/>
  <c r="H9" i="21" s="1"/>
  <c r="G66" i="20"/>
  <c r="G65" i="20"/>
  <c r="G64" i="20"/>
  <c r="G63" i="20"/>
  <c r="E58" i="20"/>
  <c r="D58" i="20"/>
  <c r="C58" i="20"/>
  <c r="E57" i="20"/>
  <c r="D57" i="20"/>
  <c r="C57" i="20"/>
  <c r="G51" i="20"/>
  <c r="H51" i="20" s="1"/>
  <c r="H50" i="20"/>
  <c r="G50" i="20"/>
  <c r="H49" i="20"/>
  <c r="G49" i="20"/>
  <c r="F42" i="20"/>
  <c r="E42" i="20"/>
  <c r="D42" i="20"/>
  <c r="C42" i="20"/>
  <c r="G41" i="20"/>
  <c r="H41" i="20" s="1"/>
  <c r="H40" i="20"/>
  <c r="G40" i="20"/>
  <c r="G39" i="20"/>
  <c r="H39" i="20" s="1"/>
  <c r="J38" i="20"/>
  <c r="H38" i="20"/>
  <c r="G38" i="20"/>
  <c r="G37" i="20"/>
  <c r="H36" i="20"/>
  <c r="G36" i="20"/>
  <c r="G35" i="20"/>
  <c r="H34" i="20"/>
  <c r="G34" i="20"/>
  <c r="G33" i="20"/>
  <c r="H32" i="20"/>
  <c r="G32" i="20"/>
  <c r="G31" i="20"/>
  <c r="J30" i="20"/>
  <c r="G30" i="20"/>
  <c r="H30" i="20" s="1"/>
  <c r="J29" i="20"/>
  <c r="H29" i="20"/>
  <c r="G29" i="20"/>
  <c r="G28" i="20"/>
  <c r="J27" i="20"/>
  <c r="G27" i="20"/>
  <c r="H27" i="20" s="1"/>
  <c r="J26" i="20"/>
  <c r="H26" i="20"/>
  <c r="G26" i="20"/>
  <c r="G25" i="20"/>
  <c r="J24" i="20"/>
  <c r="G24" i="20"/>
  <c r="H24" i="20" s="1"/>
  <c r="J23" i="20"/>
  <c r="H23" i="20"/>
  <c r="G23" i="20"/>
  <c r="G22" i="20"/>
  <c r="J21" i="20"/>
  <c r="G21" i="20"/>
  <c r="H21" i="20" s="1"/>
  <c r="J20" i="20"/>
  <c r="H20" i="20"/>
  <c r="G20" i="20"/>
  <c r="G19" i="20"/>
  <c r="J18" i="20"/>
  <c r="G18" i="20"/>
  <c r="H18" i="20" s="1"/>
  <c r="J17" i="20"/>
  <c r="H17" i="20"/>
  <c r="G17" i="20"/>
  <c r="G16" i="20"/>
  <c r="J15" i="20"/>
  <c r="G15" i="20"/>
  <c r="H15" i="20" s="1"/>
  <c r="J14" i="20"/>
  <c r="H14" i="20"/>
  <c r="G14" i="20"/>
  <c r="G13" i="20"/>
  <c r="J12" i="20"/>
  <c r="G12" i="20"/>
  <c r="H12" i="20" s="1"/>
  <c r="J11" i="20"/>
  <c r="H11" i="20"/>
  <c r="G11" i="20"/>
  <c r="G10" i="20"/>
  <c r="J9" i="20"/>
  <c r="G9" i="20"/>
  <c r="G48" i="19"/>
  <c r="G47" i="19"/>
  <c r="G46" i="19"/>
  <c r="G45" i="19"/>
  <c r="E40" i="19"/>
  <c r="D40" i="19"/>
  <c r="C40" i="19"/>
  <c r="E39" i="19"/>
  <c r="D39" i="19"/>
  <c r="C39" i="19"/>
  <c r="G33" i="19"/>
  <c r="H33" i="19" s="1"/>
  <c r="G32" i="19"/>
  <c r="H32" i="19" s="1"/>
  <c r="H31" i="19"/>
  <c r="G31" i="19"/>
  <c r="F24" i="19"/>
  <c r="E24" i="19"/>
  <c r="D24" i="19"/>
  <c r="C24" i="19"/>
  <c r="H23" i="19"/>
  <c r="G23" i="19"/>
  <c r="H22" i="19"/>
  <c r="G22" i="19"/>
  <c r="J22" i="19" s="1"/>
  <c r="G21" i="19"/>
  <c r="H21" i="19" s="1"/>
  <c r="J20" i="19"/>
  <c r="H20" i="19"/>
  <c r="G20" i="19"/>
  <c r="H19" i="19"/>
  <c r="G19" i="19"/>
  <c r="J19" i="19" s="1"/>
  <c r="G18" i="19"/>
  <c r="H18" i="19" s="1"/>
  <c r="J17" i="19"/>
  <c r="H17" i="19"/>
  <c r="G17" i="19"/>
  <c r="H16" i="19"/>
  <c r="G16" i="19"/>
  <c r="J16" i="19" s="1"/>
  <c r="G15" i="19"/>
  <c r="H15" i="19" s="1"/>
  <c r="J14" i="19"/>
  <c r="H14" i="19"/>
  <c r="G14" i="19"/>
  <c r="H13" i="19"/>
  <c r="G13" i="19"/>
  <c r="J13" i="19" s="1"/>
  <c r="G12" i="19"/>
  <c r="H12" i="19" s="1"/>
  <c r="J11" i="19"/>
  <c r="H11" i="19"/>
  <c r="G11" i="19"/>
  <c r="H10" i="19"/>
  <c r="G10" i="19"/>
  <c r="J10" i="19" s="1"/>
  <c r="G9" i="19"/>
  <c r="H9" i="19" s="1"/>
  <c r="H24" i="19" s="1"/>
  <c r="G62" i="18"/>
  <c r="G61" i="18"/>
  <c r="G60" i="18"/>
  <c r="G59" i="18"/>
  <c r="E54" i="18"/>
  <c r="D54" i="18"/>
  <c r="C54" i="18"/>
  <c r="E53" i="18"/>
  <c r="D53" i="18"/>
  <c r="C53" i="18"/>
  <c r="G47" i="18"/>
  <c r="H47" i="18" s="1"/>
  <c r="G46" i="18"/>
  <c r="H46" i="18" s="1"/>
  <c r="H45" i="18"/>
  <c r="G45" i="18"/>
  <c r="F38" i="18"/>
  <c r="E38" i="18"/>
  <c r="D38" i="18"/>
  <c r="C38" i="18"/>
  <c r="G37" i="18"/>
  <c r="H37" i="18" s="1"/>
  <c r="G36" i="18"/>
  <c r="G35" i="18"/>
  <c r="H35" i="18" s="1"/>
  <c r="J34" i="18"/>
  <c r="H34" i="18"/>
  <c r="G34" i="18"/>
  <c r="G33" i="18"/>
  <c r="G32" i="18"/>
  <c r="H32" i="18" s="1"/>
  <c r="J31" i="18"/>
  <c r="H31" i="18"/>
  <c r="G31" i="18"/>
  <c r="H30" i="18"/>
  <c r="G30" i="18"/>
  <c r="G29" i="18"/>
  <c r="H29" i="18" s="1"/>
  <c r="J28" i="18"/>
  <c r="H28" i="18"/>
  <c r="G28" i="18"/>
  <c r="H27" i="18"/>
  <c r="G27" i="18"/>
  <c r="G26" i="18"/>
  <c r="H26" i="18" s="1"/>
  <c r="J25" i="18"/>
  <c r="H25" i="18"/>
  <c r="G25" i="18"/>
  <c r="H24" i="18"/>
  <c r="G24" i="18"/>
  <c r="G23" i="18"/>
  <c r="H23" i="18" s="1"/>
  <c r="J22" i="18"/>
  <c r="H22" i="18"/>
  <c r="G22" i="18"/>
  <c r="G21" i="18"/>
  <c r="H21" i="18" s="1"/>
  <c r="J20" i="18"/>
  <c r="G20" i="18"/>
  <c r="H20" i="18" s="1"/>
  <c r="J19" i="18"/>
  <c r="H19" i="18"/>
  <c r="G19" i="18"/>
  <c r="G18" i="18"/>
  <c r="J17" i="18"/>
  <c r="G17" i="18"/>
  <c r="H17" i="18" s="1"/>
  <c r="J16" i="18"/>
  <c r="H16" i="18"/>
  <c r="G16" i="18"/>
  <c r="H15" i="18"/>
  <c r="G15" i="18"/>
  <c r="J14" i="18"/>
  <c r="G14" i="18"/>
  <c r="H14" i="18" s="1"/>
  <c r="J13" i="18"/>
  <c r="H13" i="18"/>
  <c r="G13" i="18"/>
  <c r="G12" i="18"/>
  <c r="H12" i="18" s="1"/>
  <c r="J11" i="18"/>
  <c r="G11" i="18"/>
  <c r="H11" i="18" s="1"/>
  <c r="J10" i="18"/>
  <c r="H10" i="18"/>
  <c r="G10" i="18"/>
  <c r="G9" i="18"/>
  <c r="G68" i="17"/>
  <c r="G67" i="17"/>
  <c r="G66" i="17"/>
  <c r="G65" i="17"/>
  <c r="E60" i="17"/>
  <c r="D60" i="17"/>
  <c r="C60" i="17"/>
  <c r="E59" i="17"/>
  <c r="D59" i="17"/>
  <c r="C59" i="17"/>
  <c r="G53" i="17"/>
  <c r="H53" i="17" s="1"/>
  <c r="H52" i="17"/>
  <c r="G52" i="17"/>
  <c r="G51" i="17"/>
  <c r="H51" i="17" s="1"/>
  <c r="F44" i="17"/>
  <c r="E44" i="17"/>
  <c r="D44" i="17"/>
  <c r="C44" i="17"/>
  <c r="G43" i="17"/>
  <c r="H42" i="17"/>
  <c r="G42" i="17"/>
  <c r="H41" i="17"/>
  <c r="G41" i="17"/>
  <c r="J40" i="17"/>
  <c r="G40" i="17"/>
  <c r="H40" i="17" s="1"/>
  <c r="J39" i="17"/>
  <c r="H39" i="17"/>
  <c r="G39" i="17"/>
  <c r="G38" i="17"/>
  <c r="H37" i="17"/>
  <c r="G37" i="17"/>
  <c r="H36" i="17"/>
  <c r="G36" i="17"/>
  <c r="G35" i="17"/>
  <c r="H35" i="17" s="1"/>
  <c r="H34" i="17"/>
  <c r="G34" i="17"/>
  <c r="J34" i="17" s="1"/>
  <c r="G33" i="17"/>
  <c r="J32" i="17"/>
  <c r="G32" i="17"/>
  <c r="H32" i="17" s="1"/>
  <c r="H31" i="17"/>
  <c r="G31" i="17"/>
  <c r="J31" i="17" s="1"/>
  <c r="G30" i="17"/>
  <c r="J29" i="17"/>
  <c r="G29" i="17"/>
  <c r="H29" i="17" s="1"/>
  <c r="G28" i="17"/>
  <c r="J28" i="17" s="1"/>
  <c r="G27" i="17"/>
  <c r="J26" i="17"/>
  <c r="G26" i="17"/>
  <c r="H26" i="17" s="1"/>
  <c r="G25" i="17"/>
  <c r="J25" i="17" s="1"/>
  <c r="G24" i="17"/>
  <c r="J23" i="17"/>
  <c r="G23" i="17"/>
  <c r="H23" i="17" s="1"/>
  <c r="G22" i="17"/>
  <c r="J22" i="17" s="1"/>
  <c r="H21" i="17"/>
  <c r="G21" i="17"/>
  <c r="J20" i="17"/>
  <c r="G20" i="17"/>
  <c r="H20" i="17" s="1"/>
  <c r="J19" i="17"/>
  <c r="H19" i="17"/>
  <c r="G19" i="17"/>
  <c r="G18" i="17"/>
  <c r="J17" i="17"/>
  <c r="G17" i="17"/>
  <c r="H17" i="17" s="1"/>
  <c r="G16" i="17"/>
  <c r="H15" i="17"/>
  <c r="G15" i="17"/>
  <c r="J14" i="17"/>
  <c r="G14" i="17"/>
  <c r="H14" i="17" s="1"/>
  <c r="J13" i="17"/>
  <c r="H13" i="17"/>
  <c r="G13" i="17"/>
  <c r="G12" i="17"/>
  <c r="J11" i="17"/>
  <c r="G11" i="17"/>
  <c r="H11" i="17" s="1"/>
  <c r="G10" i="17"/>
  <c r="H9" i="17"/>
  <c r="G9" i="17"/>
  <c r="G64" i="16"/>
  <c r="G63" i="16"/>
  <c r="G62" i="16"/>
  <c r="G61" i="16"/>
  <c r="E56" i="16"/>
  <c r="D56" i="16"/>
  <c r="C56" i="16"/>
  <c r="E55" i="16"/>
  <c r="D55" i="16"/>
  <c r="C55" i="16"/>
  <c r="H49" i="16"/>
  <c r="G49" i="16"/>
  <c r="G48" i="16"/>
  <c r="H48" i="16" s="1"/>
  <c r="G47" i="16"/>
  <c r="H47" i="16" s="1"/>
  <c r="F40" i="16"/>
  <c r="E40" i="16"/>
  <c r="D40" i="16"/>
  <c r="C40" i="16"/>
  <c r="G39" i="16"/>
  <c r="J38" i="16"/>
  <c r="H38" i="16"/>
  <c r="G38" i="16"/>
  <c r="H37" i="16"/>
  <c r="G37" i="16"/>
  <c r="J37" i="16" s="1"/>
  <c r="G36" i="16"/>
  <c r="J35" i="16"/>
  <c r="H35" i="16"/>
  <c r="G35" i="16"/>
  <c r="G34" i="16"/>
  <c r="J34" i="16" s="1"/>
  <c r="J33" i="16"/>
  <c r="G33" i="16"/>
  <c r="J32" i="16"/>
  <c r="H32" i="16"/>
  <c r="G32" i="16"/>
  <c r="H31" i="16"/>
  <c r="G31" i="16"/>
  <c r="J31" i="16" s="1"/>
  <c r="G30" i="16"/>
  <c r="J29" i="16"/>
  <c r="H29" i="16"/>
  <c r="G29" i="16"/>
  <c r="G28" i="16"/>
  <c r="J28" i="16" s="1"/>
  <c r="J27" i="16"/>
  <c r="G27" i="16"/>
  <c r="J26" i="16"/>
  <c r="H26" i="16"/>
  <c r="G26" i="16"/>
  <c r="H25" i="16"/>
  <c r="G25" i="16"/>
  <c r="J25" i="16" s="1"/>
  <c r="G24" i="16"/>
  <c r="J23" i="16"/>
  <c r="H23" i="16"/>
  <c r="G23" i="16"/>
  <c r="G22" i="16"/>
  <c r="J22" i="16" s="1"/>
  <c r="J21" i="16"/>
  <c r="G21" i="16"/>
  <c r="J20" i="16"/>
  <c r="H20" i="16"/>
  <c r="G20" i="16"/>
  <c r="H19" i="16"/>
  <c r="G19" i="16"/>
  <c r="J19" i="16" s="1"/>
  <c r="G18" i="16"/>
  <c r="J17" i="16"/>
  <c r="H17" i="16"/>
  <c r="G17" i="16"/>
  <c r="G16" i="16"/>
  <c r="J16" i="16" s="1"/>
  <c r="J15" i="16"/>
  <c r="G15" i="16"/>
  <c r="G14" i="16"/>
  <c r="H14" i="16" s="1"/>
  <c r="H13" i="16"/>
  <c r="G13" i="16"/>
  <c r="J12" i="16"/>
  <c r="G12" i="16"/>
  <c r="H12" i="16" s="1"/>
  <c r="J11" i="16"/>
  <c r="H11" i="16"/>
  <c r="G11" i="16"/>
  <c r="G10" i="16"/>
  <c r="H10" i="16" s="1"/>
  <c r="J9" i="16"/>
  <c r="G9" i="16"/>
  <c r="G63" i="15"/>
  <c r="G62" i="15"/>
  <c r="G61" i="15"/>
  <c r="G60" i="15"/>
  <c r="E55" i="15"/>
  <c r="D55" i="15"/>
  <c r="C55" i="15"/>
  <c r="E54" i="15"/>
  <c r="D54" i="15"/>
  <c r="C54" i="15"/>
  <c r="G48" i="15"/>
  <c r="H48" i="15" s="1"/>
  <c r="H47" i="15"/>
  <c r="G47" i="15"/>
  <c r="G46" i="15"/>
  <c r="H46" i="15" s="1"/>
  <c r="F39" i="15"/>
  <c r="E39" i="15"/>
  <c r="D39" i="15"/>
  <c r="C39" i="15"/>
  <c r="H38" i="15"/>
  <c r="G38" i="15"/>
  <c r="G37" i="15"/>
  <c r="J36" i="15"/>
  <c r="G36" i="15"/>
  <c r="H36" i="15" s="1"/>
  <c r="G35" i="15"/>
  <c r="G34" i="15"/>
  <c r="J33" i="15"/>
  <c r="H33" i="15"/>
  <c r="G33" i="15"/>
  <c r="H32" i="15"/>
  <c r="G32" i="15"/>
  <c r="J32" i="15" s="1"/>
  <c r="G31" i="15"/>
  <c r="J31" i="15" s="1"/>
  <c r="J30" i="15"/>
  <c r="H30" i="15"/>
  <c r="G30" i="15"/>
  <c r="G29" i="15"/>
  <c r="J29" i="15" s="1"/>
  <c r="J28" i="15"/>
  <c r="G28" i="15"/>
  <c r="J27" i="15"/>
  <c r="H27" i="15"/>
  <c r="G27" i="15"/>
  <c r="H26" i="15"/>
  <c r="G26" i="15"/>
  <c r="J26" i="15" s="1"/>
  <c r="G25" i="15"/>
  <c r="J25" i="15" s="1"/>
  <c r="J24" i="15"/>
  <c r="H24" i="15"/>
  <c r="G24" i="15"/>
  <c r="G23" i="15"/>
  <c r="J23" i="15" s="1"/>
  <c r="J22" i="15"/>
  <c r="G22" i="15"/>
  <c r="J21" i="15"/>
  <c r="H21" i="15"/>
  <c r="G21" i="15"/>
  <c r="H20" i="15"/>
  <c r="G20" i="15"/>
  <c r="J19" i="15"/>
  <c r="G19" i="15"/>
  <c r="H19" i="15" s="1"/>
  <c r="J18" i="15"/>
  <c r="H18" i="15"/>
  <c r="G18" i="15"/>
  <c r="G17" i="15"/>
  <c r="H17" i="15" s="1"/>
  <c r="J16" i="15"/>
  <c r="G16" i="15"/>
  <c r="H16" i="15" s="1"/>
  <c r="G15" i="15"/>
  <c r="H15" i="15" s="1"/>
  <c r="H14" i="15"/>
  <c r="G14" i="15"/>
  <c r="J13" i="15"/>
  <c r="G13" i="15"/>
  <c r="H13" i="15" s="1"/>
  <c r="J12" i="15"/>
  <c r="H12" i="15"/>
  <c r="G12" i="15"/>
  <c r="G11" i="15"/>
  <c r="H11" i="15" s="1"/>
  <c r="J10" i="15"/>
  <c r="G10" i="15"/>
  <c r="H10" i="15" s="1"/>
  <c r="G9" i="15"/>
  <c r="H9" i="15" s="1"/>
  <c r="G58" i="14"/>
  <c r="G57" i="14"/>
  <c r="G56" i="14"/>
  <c r="G55" i="14"/>
  <c r="E50" i="14"/>
  <c r="D50" i="14"/>
  <c r="C50" i="14"/>
  <c r="E49" i="14"/>
  <c r="D49" i="14"/>
  <c r="C49" i="14"/>
  <c r="G43" i="14"/>
  <c r="H43" i="14" s="1"/>
  <c r="G42" i="14"/>
  <c r="H42" i="14" s="1"/>
  <c r="H41" i="14"/>
  <c r="G41" i="14"/>
  <c r="F34" i="14"/>
  <c r="E34" i="14"/>
  <c r="D34" i="14"/>
  <c r="C34" i="14"/>
  <c r="H33" i="14"/>
  <c r="G33" i="14"/>
  <c r="G32" i="14"/>
  <c r="H32" i="14" s="1"/>
  <c r="H31" i="14"/>
  <c r="G31" i="14"/>
  <c r="J31" i="14" s="1"/>
  <c r="H30" i="14"/>
  <c r="G30" i="14"/>
  <c r="J29" i="14"/>
  <c r="G29" i="14"/>
  <c r="H29" i="14" s="1"/>
  <c r="H28" i="14"/>
  <c r="G28" i="14"/>
  <c r="G27" i="14"/>
  <c r="H27" i="14" s="1"/>
  <c r="H26" i="14"/>
  <c r="G26" i="14"/>
  <c r="G25" i="14"/>
  <c r="J25" i="14" s="1"/>
  <c r="J24" i="14"/>
  <c r="H24" i="14"/>
  <c r="G24" i="14"/>
  <c r="G23" i="14"/>
  <c r="J23" i="14" s="1"/>
  <c r="J22" i="14"/>
  <c r="G22" i="14"/>
  <c r="J21" i="14"/>
  <c r="H21" i="14"/>
  <c r="G21" i="14"/>
  <c r="H20" i="14"/>
  <c r="G20" i="14"/>
  <c r="J20" i="14" s="1"/>
  <c r="G19" i="14"/>
  <c r="J19" i="14" s="1"/>
  <c r="J18" i="14"/>
  <c r="H18" i="14"/>
  <c r="G18" i="14"/>
  <c r="G17" i="14"/>
  <c r="J17" i="14" s="1"/>
  <c r="J16" i="14"/>
  <c r="G16" i="14"/>
  <c r="G15" i="14"/>
  <c r="H15" i="14" s="1"/>
  <c r="G14" i="14"/>
  <c r="J13" i="14"/>
  <c r="G13" i="14"/>
  <c r="H13" i="14" s="1"/>
  <c r="H12" i="14"/>
  <c r="G12" i="14"/>
  <c r="J12" i="14" s="1"/>
  <c r="H11" i="14"/>
  <c r="G11" i="14"/>
  <c r="J10" i="14"/>
  <c r="G10" i="14"/>
  <c r="H10" i="14" s="1"/>
  <c r="J9" i="14"/>
  <c r="G9" i="14"/>
  <c r="H9" i="14" s="1"/>
  <c r="G74" i="13"/>
  <c r="G73" i="13"/>
  <c r="G72" i="13"/>
  <c r="G71" i="13"/>
  <c r="E66" i="13"/>
  <c r="D66" i="13"/>
  <c r="C66" i="13"/>
  <c r="E65" i="13"/>
  <c r="D65" i="13"/>
  <c r="C65" i="13"/>
  <c r="G59" i="13"/>
  <c r="H59" i="13" s="1"/>
  <c r="G58" i="13"/>
  <c r="H58" i="13" s="1"/>
  <c r="H57" i="13"/>
  <c r="G57" i="13"/>
  <c r="F50" i="13"/>
  <c r="E50" i="13"/>
  <c r="D50" i="13"/>
  <c r="C50" i="13"/>
  <c r="H49" i="13"/>
  <c r="G49" i="13"/>
  <c r="J49" i="13" s="1"/>
  <c r="H48" i="13"/>
  <c r="G48" i="13"/>
  <c r="J47" i="13"/>
  <c r="G47" i="13"/>
  <c r="H47" i="13" s="1"/>
  <c r="H46" i="13"/>
  <c r="G46" i="13"/>
  <c r="G45" i="13"/>
  <c r="H45" i="13" s="1"/>
  <c r="H44" i="13"/>
  <c r="G44" i="13"/>
  <c r="G43" i="13"/>
  <c r="H43" i="13" s="1"/>
  <c r="H42" i="13"/>
  <c r="G42" i="13"/>
  <c r="J41" i="13"/>
  <c r="G41" i="13"/>
  <c r="G40" i="13"/>
  <c r="H39" i="13"/>
  <c r="G39" i="13"/>
  <c r="J38" i="13"/>
  <c r="G38" i="13"/>
  <c r="H38" i="13" s="1"/>
  <c r="J37" i="13"/>
  <c r="H37" i="13"/>
  <c r="G37" i="13"/>
  <c r="G36" i="13"/>
  <c r="J35" i="13"/>
  <c r="G35" i="13"/>
  <c r="H35" i="13" s="1"/>
  <c r="G34" i="13"/>
  <c r="H33" i="13"/>
  <c r="G33" i="13"/>
  <c r="J32" i="13"/>
  <c r="G32" i="13"/>
  <c r="H32" i="13" s="1"/>
  <c r="J31" i="13"/>
  <c r="H31" i="13"/>
  <c r="G31" i="13"/>
  <c r="G30" i="13"/>
  <c r="J29" i="13"/>
  <c r="G29" i="13"/>
  <c r="H29" i="13" s="1"/>
  <c r="G28" i="13"/>
  <c r="H27" i="13"/>
  <c r="G27" i="13"/>
  <c r="J26" i="13"/>
  <c r="G26" i="13"/>
  <c r="H26" i="13" s="1"/>
  <c r="J25" i="13"/>
  <c r="H25" i="13"/>
  <c r="G25" i="13"/>
  <c r="G24" i="13"/>
  <c r="J23" i="13"/>
  <c r="G23" i="13"/>
  <c r="H23" i="13" s="1"/>
  <c r="G22" i="13"/>
  <c r="H21" i="13"/>
  <c r="G21" i="13"/>
  <c r="J20" i="13"/>
  <c r="G20" i="13"/>
  <c r="H20" i="13" s="1"/>
  <c r="J19" i="13"/>
  <c r="H19" i="13"/>
  <c r="G19" i="13"/>
  <c r="G18" i="13"/>
  <c r="J17" i="13"/>
  <c r="G17" i="13"/>
  <c r="H17" i="13" s="1"/>
  <c r="G16" i="13"/>
  <c r="H15" i="13"/>
  <c r="G15" i="13"/>
  <c r="J14" i="13"/>
  <c r="G14" i="13"/>
  <c r="H14" i="13" s="1"/>
  <c r="H13" i="13"/>
  <c r="G13" i="13"/>
  <c r="G12" i="13"/>
  <c r="H12" i="13" s="1"/>
  <c r="H11" i="13"/>
  <c r="G11" i="13"/>
  <c r="G10" i="13"/>
  <c r="H10" i="13" s="1"/>
  <c r="G9" i="13"/>
  <c r="G64" i="12"/>
  <c r="G63" i="12"/>
  <c r="G62" i="12"/>
  <c r="G61" i="12"/>
  <c r="E56" i="12"/>
  <c r="D56" i="12"/>
  <c r="C56" i="12"/>
  <c r="E55" i="12"/>
  <c r="D55" i="12"/>
  <c r="C55" i="12"/>
  <c r="G49" i="12"/>
  <c r="H49" i="12" s="1"/>
  <c r="H48" i="12"/>
  <c r="G48" i="12"/>
  <c r="G47" i="12"/>
  <c r="H47" i="12" s="1"/>
  <c r="F40" i="12"/>
  <c r="E40" i="12"/>
  <c r="D40" i="12"/>
  <c r="C40" i="12"/>
  <c r="H39" i="12"/>
  <c r="G39" i="12"/>
  <c r="H38" i="12"/>
  <c r="G38" i="12"/>
  <c r="H37" i="12"/>
  <c r="G37" i="12"/>
  <c r="J37" i="12" s="1"/>
  <c r="J36" i="12"/>
  <c r="G36" i="12"/>
  <c r="G35" i="12"/>
  <c r="H34" i="12"/>
  <c r="G34" i="12"/>
  <c r="J33" i="12"/>
  <c r="G33" i="12"/>
  <c r="H33" i="12" s="1"/>
  <c r="J32" i="12"/>
  <c r="H32" i="12"/>
  <c r="G32" i="12"/>
  <c r="G31" i="12"/>
  <c r="J30" i="12"/>
  <c r="G30" i="12"/>
  <c r="H30" i="12" s="1"/>
  <c r="G29" i="12"/>
  <c r="H28" i="12"/>
  <c r="G28" i="12"/>
  <c r="J27" i="12"/>
  <c r="G27" i="12"/>
  <c r="H27" i="12" s="1"/>
  <c r="J26" i="12"/>
  <c r="H26" i="12"/>
  <c r="G26" i="12"/>
  <c r="G25" i="12"/>
  <c r="J24" i="12"/>
  <c r="G24" i="12"/>
  <c r="H24" i="12" s="1"/>
  <c r="G23" i="12"/>
  <c r="H22" i="12"/>
  <c r="G22" i="12"/>
  <c r="J21" i="12"/>
  <c r="G21" i="12"/>
  <c r="H21" i="12" s="1"/>
  <c r="J20" i="12"/>
  <c r="H20" i="12"/>
  <c r="G20" i="12"/>
  <c r="G19" i="12"/>
  <c r="J18" i="12"/>
  <c r="G18" i="12"/>
  <c r="H18" i="12" s="1"/>
  <c r="G17" i="12"/>
  <c r="H16" i="12"/>
  <c r="G16" i="12"/>
  <c r="J15" i="12"/>
  <c r="G15" i="12"/>
  <c r="H15" i="12" s="1"/>
  <c r="J14" i="12"/>
  <c r="H14" i="12"/>
  <c r="G14" i="12"/>
  <c r="G13" i="12"/>
  <c r="J12" i="12"/>
  <c r="G12" i="12"/>
  <c r="H12" i="12" s="1"/>
  <c r="G11" i="12"/>
  <c r="H10" i="12"/>
  <c r="G10" i="12"/>
  <c r="G9" i="12"/>
  <c r="H9" i="12" s="1"/>
  <c r="G67" i="11"/>
  <c r="G66" i="11"/>
  <c r="G65" i="11"/>
  <c r="G64" i="11"/>
  <c r="E59" i="11"/>
  <c r="D59" i="11"/>
  <c r="C59" i="11"/>
  <c r="E58" i="11"/>
  <c r="D58" i="11"/>
  <c r="C58" i="11"/>
  <c r="G52" i="11"/>
  <c r="H52" i="11" s="1"/>
  <c r="G51" i="11"/>
  <c r="H51" i="11" s="1"/>
  <c r="H50" i="11"/>
  <c r="G50" i="11"/>
  <c r="F43" i="11"/>
  <c r="E43" i="11"/>
  <c r="D43" i="11"/>
  <c r="C43" i="11"/>
  <c r="H42" i="11"/>
  <c r="G42" i="11"/>
  <c r="G41" i="11"/>
  <c r="H41" i="11" s="1"/>
  <c r="H40" i="11"/>
  <c r="G40" i="11"/>
  <c r="G39" i="11"/>
  <c r="J38" i="11"/>
  <c r="H38" i="11"/>
  <c r="G38" i="11"/>
  <c r="G37" i="11"/>
  <c r="H36" i="11"/>
  <c r="G36" i="11"/>
  <c r="J36" i="11" s="1"/>
  <c r="H35" i="11"/>
  <c r="G35" i="11"/>
  <c r="J34" i="11"/>
  <c r="G34" i="11"/>
  <c r="H34" i="11" s="1"/>
  <c r="J33" i="11"/>
  <c r="H33" i="11"/>
  <c r="G33" i="11"/>
  <c r="J32" i="11"/>
  <c r="H32" i="11"/>
  <c r="G32" i="11"/>
  <c r="J31" i="11"/>
  <c r="H31" i="11"/>
  <c r="G31" i="11"/>
  <c r="G30" i="11"/>
  <c r="J29" i="11"/>
  <c r="H29" i="11"/>
  <c r="G29" i="11"/>
  <c r="J28" i="11"/>
  <c r="H28" i="11"/>
  <c r="G28" i="11"/>
  <c r="G27" i="11"/>
  <c r="J27" i="11" s="1"/>
  <c r="J26" i="11"/>
  <c r="H26" i="11"/>
  <c r="G26" i="11"/>
  <c r="H25" i="11"/>
  <c r="G25" i="11"/>
  <c r="J25" i="11" s="1"/>
  <c r="J24" i="11"/>
  <c r="G24" i="11"/>
  <c r="H24" i="11" s="1"/>
  <c r="J23" i="11"/>
  <c r="H23" i="11"/>
  <c r="G23" i="11"/>
  <c r="G22" i="11"/>
  <c r="J21" i="11"/>
  <c r="H21" i="11"/>
  <c r="G21" i="11"/>
  <c r="J20" i="11"/>
  <c r="H20" i="11"/>
  <c r="G20" i="11"/>
  <c r="G19" i="11"/>
  <c r="H19" i="11" s="1"/>
  <c r="J18" i="11"/>
  <c r="H18" i="11"/>
  <c r="G18" i="11"/>
  <c r="J17" i="11"/>
  <c r="H17" i="11"/>
  <c r="G17" i="11"/>
  <c r="J16" i="11"/>
  <c r="G16" i="11"/>
  <c r="H16" i="11" s="1"/>
  <c r="J15" i="11"/>
  <c r="H15" i="11"/>
  <c r="G15" i="11"/>
  <c r="J14" i="11"/>
  <c r="H14" i="11"/>
  <c r="G14" i="11"/>
  <c r="J13" i="11"/>
  <c r="H13" i="11"/>
  <c r="G13" i="11"/>
  <c r="G12" i="11"/>
  <c r="J11" i="11"/>
  <c r="H11" i="11"/>
  <c r="G11" i="11"/>
  <c r="J10" i="11"/>
  <c r="H10" i="11"/>
  <c r="G10" i="11"/>
  <c r="G9" i="11"/>
  <c r="G43" i="11" s="1"/>
  <c r="G71" i="10"/>
  <c r="G70" i="10"/>
  <c r="G69" i="10"/>
  <c r="G68" i="10"/>
  <c r="E63" i="10"/>
  <c r="D63" i="10"/>
  <c r="C63" i="10"/>
  <c r="E62" i="10"/>
  <c r="D62" i="10"/>
  <c r="C62" i="10"/>
  <c r="G56" i="10"/>
  <c r="H56" i="10" s="1"/>
  <c r="H55" i="10"/>
  <c r="G55" i="10"/>
  <c r="H54" i="10"/>
  <c r="G54" i="10"/>
  <c r="F47" i="10"/>
  <c r="E47" i="10"/>
  <c r="D47" i="10"/>
  <c r="C47" i="10"/>
  <c r="G46" i="10"/>
  <c r="H46" i="10" s="1"/>
  <c r="G45" i="10"/>
  <c r="H45" i="10" s="1"/>
  <c r="G44" i="10"/>
  <c r="H44" i="10" s="1"/>
  <c r="G43" i="10"/>
  <c r="H43" i="10" s="1"/>
  <c r="J42" i="10"/>
  <c r="H42" i="10"/>
  <c r="G42" i="10"/>
  <c r="J41" i="10"/>
  <c r="H41" i="10"/>
  <c r="G41" i="10"/>
  <c r="J40" i="10"/>
  <c r="H40" i="10"/>
  <c r="G40" i="10"/>
  <c r="G39" i="10"/>
  <c r="H39" i="10" s="1"/>
  <c r="H38" i="10"/>
  <c r="G38" i="10"/>
  <c r="G37" i="10"/>
  <c r="J37" i="10" s="1"/>
  <c r="H36" i="10"/>
  <c r="G36" i="10"/>
  <c r="G35" i="10"/>
  <c r="J35" i="10" s="1"/>
  <c r="J34" i="10"/>
  <c r="G34" i="10"/>
  <c r="H34" i="10" s="1"/>
  <c r="G33" i="10"/>
  <c r="H32" i="10"/>
  <c r="G32" i="10"/>
  <c r="J32" i="10" s="1"/>
  <c r="G31" i="10"/>
  <c r="H31" i="10" s="1"/>
  <c r="J30" i="10"/>
  <c r="G30" i="10"/>
  <c r="H30" i="10" s="1"/>
  <c r="H29" i="10"/>
  <c r="G29" i="10"/>
  <c r="J29" i="10" s="1"/>
  <c r="J28" i="10"/>
  <c r="G28" i="10"/>
  <c r="H28" i="10" s="1"/>
  <c r="J27" i="10"/>
  <c r="H27" i="10"/>
  <c r="G27" i="10"/>
  <c r="G26" i="10"/>
  <c r="J26" i="10" s="1"/>
  <c r="J25" i="10"/>
  <c r="G25" i="10"/>
  <c r="H25" i="10" s="1"/>
  <c r="G24" i="10"/>
  <c r="H23" i="10"/>
  <c r="G23" i="10"/>
  <c r="J23" i="10" s="1"/>
  <c r="G22" i="10"/>
  <c r="H22" i="10" s="1"/>
  <c r="J21" i="10"/>
  <c r="G21" i="10"/>
  <c r="H21" i="10" s="1"/>
  <c r="H20" i="10"/>
  <c r="G20" i="10"/>
  <c r="J20" i="10" s="1"/>
  <c r="J19" i="10"/>
  <c r="G19" i="10"/>
  <c r="H19" i="10" s="1"/>
  <c r="J18" i="10"/>
  <c r="H18" i="10"/>
  <c r="G18" i="10"/>
  <c r="G17" i="10"/>
  <c r="J17" i="10" s="1"/>
  <c r="J16" i="10"/>
  <c r="G16" i="10"/>
  <c r="H16" i="10" s="1"/>
  <c r="G15" i="10"/>
  <c r="H14" i="10"/>
  <c r="G14" i="10"/>
  <c r="J14" i="10" s="1"/>
  <c r="G13" i="10"/>
  <c r="H13" i="10" s="1"/>
  <c r="J12" i="10"/>
  <c r="G12" i="10"/>
  <c r="H12" i="10" s="1"/>
  <c r="H11" i="10"/>
  <c r="G11" i="10"/>
  <c r="J11" i="10" s="1"/>
  <c r="J10" i="10"/>
  <c r="G10" i="10"/>
  <c r="H10" i="10" s="1"/>
  <c r="J9" i="10"/>
  <c r="H9" i="10"/>
  <c r="G9" i="10"/>
  <c r="G60" i="9"/>
  <c r="G59" i="9"/>
  <c r="G58" i="9"/>
  <c r="G57" i="9"/>
  <c r="E52" i="9"/>
  <c r="D52" i="9"/>
  <c r="C52" i="9"/>
  <c r="E51" i="9"/>
  <c r="D51" i="9"/>
  <c r="C51" i="9"/>
  <c r="H45" i="9"/>
  <c r="G45" i="9"/>
  <c r="G44" i="9"/>
  <c r="H44" i="9" s="1"/>
  <c r="G43" i="9"/>
  <c r="H43" i="9" s="1"/>
  <c r="F36" i="9"/>
  <c r="E36" i="9"/>
  <c r="E37" i="9" s="1"/>
  <c r="D36" i="9"/>
  <c r="C36" i="9"/>
  <c r="C37" i="9" s="1"/>
  <c r="G35" i="9"/>
  <c r="H34" i="9"/>
  <c r="G34" i="9"/>
  <c r="J34" i="9" s="1"/>
  <c r="G33" i="9"/>
  <c r="H33" i="9" s="1"/>
  <c r="H32" i="9"/>
  <c r="G32" i="9"/>
  <c r="G31" i="9"/>
  <c r="H30" i="9"/>
  <c r="G30" i="9"/>
  <c r="G29" i="9"/>
  <c r="J29" i="9" s="1"/>
  <c r="J28" i="9"/>
  <c r="G28" i="9"/>
  <c r="H28" i="9" s="1"/>
  <c r="H27" i="9"/>
  <c r="G27" i="9"/>
  <c r="J27" i="9" s="1"/>
  <c r="G26" i="9"/>
  <c r="J26" i="9" s="1"/>
  <c r="J25" i="9"/>
  <c r="G25" i="9"/>
  <c r="H25" i="9" s="1"/>
  <c r="G24" i="9"/>
  <c r="H24" i="9" s="1"/>
  <c r="H23" i="9"/>
  <c r="G23" i="9"/>
  <c r="J23" i="9" s="1"/>
  <c r="G22" i="9"/>
  <c r="H22" i="9" s="1"/>
  <c r="J21" i="9"/>
  <c r="H21" i="9"/>
  <c r="G21" i="9"/>
  <c r="G20" i="9"/>
  <c r="J20" i="9" s="1"/>
  <c r="J19" i="9"/>
  <c r="G19" i="9"/>
  <c r="H19" i="9" s="1"/>
  <c r="H18" i="9"/>
  <c r="G18" i="9"/>
  <c r="J18" i="9" s="1"/>
  <c r="G17" i="9"/>
  <c r="J17" i="9" s="1"/>
  <c r="J16" i="9"/>
  <c r="G16" i="9"/>
  <c r="H16" i="9" s="1"/>
  <c r="G15" i="9"/>
  <c r="H15" i="9" s="1"/>
  <c r="H14" i="9"/>
  <c r="G14" i="9"/>
  <c r="J14" i="9" s="1"/>
  <c r="G13" i="9"/>
  <c r="H13" i="9" s="1"/>
  <c r="J12" i="9"/>
  <c r="H12" i="9"/>
  <c r="G12" i="9"/>
  <c r="G11" i="9"/>
  <c r="J11" i="9" s="1"/>
  <c r="J10" i="9"/>
  <c r="G10" i="9"/>
  <c r="H10" i="9" s="1"/>
  <c r="H9" i="9"/>
  <c r="G9" i="9"/>
  <c r="G36" i="9" s="1"/>
  <c r="G66" i="8"/>
  <c r="G65" i="8"/>
  <c r="G64" i="8"/>
  <c r="G63" i="8"/>
  <c r="E58" i="8"/>
  <c r="D58" i="8"/>
  <c r="C58" i="8"/>
  <c r="E57" i="8"/>
  <c r="D57" i="8"/>
  <c r="C57" i="8"/>
  <c r="H51" i="8"/>
  <c r="G51" i="8"/>
  <c r="H50" i="8"/>
  <c r="G50" i="8"/>
  <c r="G49" i="8"/>
  <c r="H49" i="8" s="1"/>
  <c r="F42" i="8"/>
  <c r="E42" i="8"/>
  <c r="D42" i="8"/>
  <c r="C42" i="8"/>
  <c r="G41" i="8"/>
  <c r="H40" i="8"/>
  <c r="G40" i="8"/>
  <c r="H39" i="8"/>
  <c r="G39" i="8"/>
  <c r="J39" i="8" s="1"/>
  <c r="G38" i="8"/>
  <c r="H38" i="8" s="1"/>
  <c r="J37" i="8"/>
  <c r="H37" i="8"/>
  <c r="G37" i="8"/>
  <c r="H36" i="8"/>
  <c r="G36" i="8"/>
  <c r="J36" i="8" s="1"/>
  <c r="G35" i="8"/>
  <c r="H35" i="8" s="1"/>
  <c r="J34" i="8"/>
  <c r="H34" i="8"/>
  <c r="G34" i="8"/>
  <c r="H33" i="8"/>
  <c r="G33" i="8"/>
  <c r="J33" i="8" s="1"/>
  <c r="G32" i="8"/>
  <c r="H32" i="8" s="1"/>
  <c r="J31" i="8"/>
  <c r="H31" i="8"/>
  <c r="G31" i="8"/>
  <c r="H30" i="8"/>
  <c r="G30" i="8"/>
  <c r="J30" i="8" s="1"/>
  <c r="G29" i="8"/>
  <c r="H29" i="8" s="1"/>
  <c r="J28" i="8"/>
  <c r="H28" i="8"/>
  <c r="G28" i="8"/>
  <c r="H27" i="8"/>
  <c r="G27" i="8"/>
  <c r="J27" i="8" s="1"/>
  <c r="G26" i="8"/>
  <c r="H26" i="8" s="1"/>
  <c r="J25" i="8"/>
  <c r="H25" i="8"/>
  <c r="G25" i="8"/>
  <c r="H24" i="8"/>
  <c r="G24" i="8"/>
  <c r="J24" i="8" s="1"/>
  <c r="G23" i="8"/>
  <c r="H23" i="8" s="1"/>
  <c r="J22" i="8"/>
  <c r="H22" i="8"/>
  <c r="G22" i="8"/>
  <c r="H21" i="8"/>
  <c r="G21" i="8"/>
  <c r="J21" i="8" s="1"/>
  <c r="G20" i="8"/>
  <c r="H20" i="8" s="1"/>
  <c r="J19" i="8"/>
  <c r="H19" i="8"/>
  <c r="G19" i="8"/>
  <c r="H18" i="8"/>
  <c r="G18" i="8"/>
  <c r="J18" i="8" s="1"/>
  <c r="G17" i="8"/>
  <c r="H17" i="8" s="1"/>
  <c r="J16" i="8"/>
  <c r="H16" i="8"/>
  <c r="G16" i="8"/>
  <c r="G15" i="8"/>
  <c r="J14" i="8"/>
  <c r="G14" i="8"/>
  <c r="H14" i="8" s="1"/>
  <c r="J13" i="8"/>
  <c r="H13" i="8"/>
  <c r="G13" i="8"/>
  <c r="G12" i="8"/>
  <c r="J11" i="8"/>
  <c r="G11" i="8"/>
  <c r="H11" i="8" s="1"/>
  <c r="J10" i="8"/>
  <c r="H10" i="8"/>
  <c r="G10" i="8"/>
  <c r="G9" i="8"/>
  <c r="G63" i="7"/>
  <c r="G62" i="7"/>
  <c r="G61" i="7"/>
  <c r="G60" i="7"/>
  <c r="E55" i="7"/>
  <c r="D55" i="7"/>
  <c r="C55" i="7"/>
  <c r="E54" i="7"/>
  <c r="D54" i="7"/>
  <c r="C54" i="7"/>
  <c r="G48" i="7"/>
  <c r="H48" i="7" s="1"/>
  <c r="H47" i="7"/>
  <c r="G47" i="7"/>
  <c r="G46" i="7"/>
  <c r="H46" i="7" s="1"/>
  <c r="F39" i="7"/>
  <c r="F40" i="7" s="1"/>
  <c r="E39" i="7"/>
  <c r="D39" i="7"/>
  <c r="C39" i="7"/>
  <c r="G38" i="7"/>
  <c r="J37" i="7"/>
  <c r="G37" i="7"/>
  <c r="H37" i="7" s="1"/>
  <c r="J36" i="7"/>
  <c r="H36" i="7"/>
  <c r="G36" i="7"/>
  <c r="G35" i="7"/>
  <c r="J34" i="7"/>
  <c r="G34" i="7"/>
  <c r="H34" i="7" s="1"/>
  <c r="J33" i="7"/>
  <c r="H33" i="7"/>
  <c r="G33" i="7"/>
  <c r="G32" i="7"/>
  <c r="J31" i="7"/>
  <c r="G31" i="7"/>
  <c r="H31" i="7" s="1"/>
  <c r="J30" i="7"/>
  <c r="H30" i="7"/>
  <c r="G30" i="7"/>
  <c r="G29" i="7"/>
  <c r="J28" i="7"/>
  <c r="G28" i="7"/>
  <c r="H28" i="7" s="1"/>
  <c r="J27" i="7"/>
  <c r="H27" i="7"/>
  <c r="G27" i="7"/>
  <c r="G26" i="7"/>
  <c r="I26" i="7" s="1"/>
  <c r="J25" i="7"/>
  <c r="G25" i="7"/>
  <c r="H25" i="7" s="1"/>
  <c r="H24" i="7"/>
  <c r="G24" i="7"/>
  <c r="G23" i="7"/>
  <c r="H23" i="7" s="1"/>
  <c r="J22" i="7"/>
  <c r="H22" i="7"/>
  <c r="G22" i="7"/>
  <c r="H21" i="7"/>
  <c r="G21" i="7"/>
  <c r="J21" i="7" s="1"/>
  <c r="G20" i="7"/>
  <c r="H20" i="7" s="1"/>
  <c r="J19" i="7"/>
  <c r="H19" i="7"/>
  <c r="G19" i="7"/>
  <c r="H18" i="7"/>
  <c r="G18" i="7"/>
  <c r="J18" i="7" s="1"/>
  <c r="G17" i="7"/>
  <c r="H17" i="7" s="1"/>
  <c r="J16" i="7"/>
  <c r="H16" i="7"/>
  <c r="G16" i="7"/>
  <c r="H15" i="7"/>
  <c r="G15" i="7"/>
  <c r="J15" i="7" s="1"/>
  <c r="G14" i="7"/>
  <c r="H14" i="7" s="1"/>
  <c r="J13" i="7"/>
  <c r="H13" i="7"/>
  <c r="G13" i="7"/>
  <c r="H12" i="7"/>
  <c r="G12" i="7"/>
  <c r="J12" i="7" s="1"/>
  <c r="G11" i="7"/>
  <c r="H11" i="7" s="1"/>
  <c r="J10" i="7"/>
  <c r="H10" i="7"/>
  <c r="G10" i="7"/>
  <c r="H9" i="7"/>
  <c r="G9" i="7"/>
  <c r="G39" i="7" s="1"/>
  <c r="G66" i="6"/>
  <c r="G65" i="6"/>
  <c r="G64" i="6"/>
  <c r="G63" i="6"/>
  <c r="E58" i="6"/>
  <c r="D58" i="6"/>
  <c r="C58" i="6"/>
  <c r="E57" i="6"/>
  <c r="D57" i="6"/>
  <c r="C57" i="6"/>
  <c r="H51" i="6"/>
  <c r="G51" i="6"/>
  <c r="H50" i="6"/>
  <c r="G50" i="6"/>
  <c r="G49" i="6"/>
  <c r="H49" i="6" s="1"/>
  <c r="F42" i="6"/>
  <c r="E42" i="6"/>
  <c r="D42" i="6"/>
  <c r="C42" i="6"/>
  <c r="H41" i="6"/>
  <c r="G41" i="6"/>
  <c r="J41" i="6" s="1"/>
  <c r="G40" i="6"/>
  <c r="H40" i="6" s="1"/>
  <c r="J39" i="6"/>
  <c r="H39" i="6"/>
  <c r="G39" i="6"/>
  <c r="G38" i="6"/>
  <c r="J37" i="6"/>
  <c r="G37" i="6"/>
  <c r="H37" i="6" s="1"/>
  <c r="J36" i="6"/>
  <c r="H36" i="6"/>
  <c r="G36" i="6"/>
  <c r="G35" i="6"/>
  <c r="J34" i="6"/>
  <c r="G34" i="6"/>
  <c r="H34" i="6" s="1"/>
  <c r="J33" i="6"/>
  <c r="H33" i="6"/>
  <c r="G33" i="6"/>
  <c r="G32" i="6"/>
  <c r="J31" i="6"/>
  <c r="G31" i="6"/>
  <c r="H31" i="6" s="1"/>
  <c r="J30" i="6"/>
  <c r="H30" i="6"/>
  <c r="G30" i="6"/>
  <c r="G29" i="6"/>
  <c r="J28" i="6"/>
  <c r="G28" i="6"/>
  <c r="H28" i="6" s="1"/>
  <c r="J27" i="6"/>
  <c r="H27" i="6"/>
  <c r="G27" i="6"/>
  <c r="G26" i="6"/>
  <c r="J25" i="6"/>
  <c r="G25" i="6"/>
  <c r="H25" i="6" s="1"/>
  <c r="J24" i="6"/>
  <c r="H24" i="6"/>
  <c r="G24" i="6"/>
  <c r="G23" i="6"/>
  <c r="J22" i="6"/>
  <c r="G22" i="6"/>
  <c r="H22" i="6" s="1"/>
  <c r="J21" i="6"/>
  <c r="H21" i="6"/>
  <c r="G21" i="6"/>
  <c r="G20" i="6"/>
  <c r="J19" i="6"/>
  <c r="G19" i="6"/>
  <c r="H19" i="6" s="1"/>
  <c r="J18" i="6"/>
  <c r="H18" i="6"/>
  <c r="G18" i="6"/>
  <c r="G17" i="6"/>
  <c r="J16" i="6"/>
  <c r="G16" i="6"/>
  <c r="H16" i="6" s="1"/>
  <c r="J15" i="6"/>
  <c r="H15" i="6"/>
  <c r="G15" i="6"/>
  <c r="G14" i="6"/>
  <c r="J13" i="6"/>
  <c r="G13" i="6"/>
  <c r="H13" i="6" s="1"/>
  <c r="J12" i="6"/>
  <c r="H12" i="6"/>
  <c r="G12" i="6"/>
  <c r="G11" i="6"/>
  <c r="H11" i="6" s="1"/>
  <c r="H10" i="6"/>
  <c r="G10" i="6"/>
  <c r="G9" i="6"/>
  <c r="H9" i="6" s="1"/>
  <c r="G72" i="5"/>
  <c r="G71" i="5"/>
  <c r="G70" i="5"/>
  <c r="G69" i="5"/>
  <c r="E64" i="5"/>
  <c r="D64" i="5"/>
  <c r="C64" i="5"/>
  <c r="E63" i="5"/>
  <c r="D63" i="5"/>
  <c r="C63" i="5"/>
  <c r="G57" i="5"/>
  <c r="H57" i="5" s="1"/>
  <c r="H56" i="5"/>
  <c r="G56" i="5"/>
  <c r="H55" i="5"/>
  <c r="G55" i="5"/>
  <c r="F48" i="5"/>
  <c r="E48" i="5"/>
  <c r="D48" i="5"/>
  <c r="C48" i="5"/>
  <c r="G47" i="5"/>
  <c r="H47" i="5" s="1"/>
  <c r="J46" i="5"/>
  <c r="H46" i="5"/>
  <c r="G46" i="5"/>
  <c r="G45" i="5"/>
  <c r="H44" i="5"/>
  <c r="G44" i="5"/>
  <c r="H43" i="5"/>
  <c r="G43" i="5"/>
  <c r="J43" i="5" s="1"/>
  <c r="G42" i="5"/>
  <c r="H42" i="5" s="1"/>
  <c r="J41" i="5"/>
  <c r="H41" i="5"/>
  <c r="G41" i="5"/>
  <c r="G40" i="5"/>
  <c r="J39" i="5"/>
  <c r="G39" i="5"/>
  <c r="H39" i="5" s="1"/>
  <c r="J38" i="5"/>
  <c r="H38" i="5"/>
  <c r="G38" i="5"/>
  <c r="G37" i="5"/>
  <c r="J36" i="5"/>
  <c r="G36" i="5"/>
  <c r="H36" i="5" s="1"/>
  <c r="J35" i="5"/>
  <c r="H35" i="5"/>
  <c r="G35" i="5"/>
  <c r="G34" i="5"/>
  <c r="J33" i="5"/>
  <c r="G33" i="5"/>
  <c r="H33" i="5" s="1"/>
  <c r="J32" i="5"/>
  <c r="H32" i="5"/>
  <c r="G32" i="5"/>
  <c r="G31" i="5"/>
  <c r="J30" i="5"/>
  <c r="G30" i="5"/>
  <c r="H30" i="5" s="1"/>
  <c r="J29" i="5"/>
  <c r="H29" i="5"/>
  <c r="G29" i="5"/>
  <c r="G28" i="5"/>
  <c r="H28" i="5" s="1"/>
  <c r="J27" i="5"/>
  <c r="H27" i="5"/>
  <c r="G27" i="5"/>
  <c r="H26" i="5"/>
  <c r="G26" i="5"/>
  <c r="J26" i="5" s="1"/>
  <c r="G25" i="5"/>
  <c r="H25" i="5" s="1"/>
  <c r="J24" i="5"/>
  <c r="H24" i="5"/>
  <c r="G24" i="5"/>
  <c r="H23" i="5"/>
  <c r="G23" i="5"/>
  <c r="J23" i="5" s="1"/>
  <c r="G22" i="5"/>
  <c r="H22" i="5" s="1"/>
  <c r="J21" i="5"/>
  <c r="H21" i="5"/>
  <c r="G21" i="5"/>
  <c r="H20" i="5"/>
  <c r="G20" i="5"/>
  <c r="J20" i="5" s="1"/>
  <c r="G19" i="5"/>
  <c r="H19" i="5" s="1"/>
  <c r="J18" i="5"/>
  <c r="H18" i="5"/>
  <c r="G18" i="5"/>
  <c r="H17" i="5"/>
  <c r="G17" i="5"/>
  <c r="J17" i="5" s="1"/>
  <c r="G16" i="5"/>
  <c r="H16" i="5" s="1"/>
  <c r="J15" i="5"/>
  <c r="H15" i="5"/>
  <c r="G15" i="5"/>
  <c r="H14" i="5"/>
  <c r="G14" i="5"/>
  <c r="J14" i="5" s="1"/>
  <c r="G13" i="5"/>
  <c r="H13" i="5" s="1"/>
  <c r="J12" i="5"/>
  <c r="H12" i="5"/>
  <c r="G12" i="5"/>
  <c r="H11" i="5"/>
  <c r="G11" i="5"/>
  <c r="J11" i="5" s="1"/>
  <c r="G10" i="5"/>
  <c r="H10" i="5" s="1"/>
  <c r="J9" i="5"/>
  <c r="H9" i="5"/>
  <c r="G9" i="5"/>
  <c r="G66" i="4"/>
  <c r="G65" i="4"/>
  <c r="G64" i="4"/>
  <c r="G63" i="4"/>
  <c r="E58" i="4"/>
  <c r="D58" i="4"/>
  <c r="C58" i="4"/>
  <c r="E57" i="4"/>
  <c r="D57" i="4"/>
  <c r="C57" i="4"/>
  <c r="H51" i="4"/>
  <c r="G51" i="4"/>
  <c r="G50" i="4"/>
  <c r="H50" i="4" s="1"/>
  <c r="G49" i="4"/>
  <c r="H49" i="4" s="1"/>
  <c r="G42" i="4"/>
  <c r="F42" i="4"/>
  <c r="E42" i="4"/>
  <c r="D42" i="4"/>
  <c r="D43" i="4" s="1"/>
  <c r="C42" i="4"/>
  <c r="C43" i="4" s="1"/>
  <c r="J41" i="4"/>
  <c r="I41" i="4"/>
  <c r="H41" i="4"/>
  <c r="G41" i="4"/>
  <c r="G40" i="4"/>
  <c r="H40" i="4" s="1"/>
  <c r="J39" i="4"/>
  <c r="H39" i="4"/>
  <c r="G39" i="4"/>
  <c r="H38" i="4"/>
  <c r="G38" i="4"/>
  <c r="J38" i="4" s="1"/>
  <c r="G37" i="4"/>
  <c r="H37" i="4" s="1"/>
  <c r="J36" i="4"/>
  <c r="H36" i="4"/>
  <c r="G36" i="4"/>
  <c r="G35" i="4"/>
  <c r="H34" i="4"/>
  <c r="G34" i="4"/>
  <c r="H33" i="4"/>
  <c r="G33" i="4"/>
  <c r="J33" i="4" s="1"/>
  <c r="G32" i="4"/>
  <c r="H32" i="4" s="1"/>
  <c r="J31" i="4"/>
  <c r="H31" i="4"/>
  <c r="G31" i="4"/>
  <c r="H30" i="4"/>
  <c r="G30" i="4"/>
  <c r="J30" i="4" s="1"/>
  <c r="G29" i="4"/>
  <c r="H29" i="4" s="1"/>
  <c r="J28" i="4"/>
  <c r="H28" i="4"/>
  <c r="G28" i="4"/>
  <c r="H27" i="4"/>
  <c r="G27" i="4"/>
  <c r="J27" i="4" s="1"/>
  <c r="G26" i="4"/>
  <c r="H26" i="4" s="1"/>
  <c r="J25" i="4"/>
  <c r="H25" i="4"/>
  <c r="G25" i="4"/>
  <c r="H24" i="4"/>
  <c r="G24" i="4"/>
  <c r="J24" i="4" s="1"/>
  <c r="G23" i="4"/>
  <c r="H23" i="4" s="1"/>
  <c r="J22" i="4"/>
  <c r="H22" i="4"/>
  <c r="G22" i="4"/>
  <c r="H21" i="4"/>
  <c r="G21" i="4"/>
  <c r="J21" i="4" s="1"/>
  <c r="G20" i="4"/>
  <c r="H20" i="4" s="1"/>
  <c r="J19" i="4"/>
  <c r="H19" i="4"/>
  <c r="G19" i="4"/>
  <c r="H18" i="4"/>
  <c r="G18" i="4"/>
  <c r="J18" i="4" s="1"/>
  <c r="G17" i="4"/>
  <c r="H17" i="4" s="1"/>
  <c r="J16" i="4"/>
  <c r="H16" i="4"/>
  <c r="G16" i="4"/>
  <c r="H15" i="4"/>
  <c r="G15" i="4"/>
  <c r="J15" i="4" s="1"/>
  <c r="G14" i="4"/>
  <c r="H14" i="4" s="1"/>
  <c r="J13" i="4"/>
  <c r="H13" i="4"/>
  <c r="G13" i="4"/>
  <c r="H12" i="4"/>
  <c r="G12" i="4"/>
  <c r="J12" i="4" s="1"/>
  <c r="G11" i="4"/>
  <c r="H11" i="4" s="1"/>
  <c r="J10" i="4"/>
  <c r="H10" i="4"/>
  <c r="G10" i="4"/>
  <c r="H9" i="4"/>
  <c r="G9" i="4"/>
  <c r="J9" i="4" s="1"/>
  <c r="G68" i="3"/>
  <c r="G67" i="3"/>
  <c r="G66" i="3"/>
  <c r="G65" i="3"/>
  <c r="E60" i="3"/>
  <c r="D60" i="3"/>
  <c r="C60" i="3"/>
  <c r="E59" i="3"/>
  <c r="D59" i="3"/>
  <c r="C59" i="3"/>
  <c r="H53" i="3"/>
  <c r="G53" i="3"/>
  <c r="H52" i="3"/>
  <c r="G52" i="3"/>
  <c r="G51" i="3"/>
  <c r="H51" i="3" s="1"/>
  <c r="F44" i="3"/>
  <c r="E44" i="3"/>
  <c r="D44" i="3"/>
  <c r="C44" i="3"/>
  <c r="G43" i="3"/>
  <c r="H42" i="3"/>
  <c r="G42" i="3"/>
  <c r="G41" i="3"/>
  <c r="H40" i="3"/>
  <c r="G40" i="3"/>
  <c r="G39" i="3"/>
  <c r="J38" i="3"/>
  <c r="G38" i="3"/>
  <c r="H38" i="3" s="1"/>
  <c r="J37" i="3"/>
  <c r="H37" i="3"/>
  <c r="G37" i="3"/>
  <c r="G36" i="3"/>
  <c r="H36" i="3" s="1"/>
  <c r="J35" i="3"/>
  <c r="H35" i="3"/>
  <c r="G35" i="3"/>
  <c r="G34" i="3"/>
  <c r="J33" i="3"/>
  <c r="G33" i="3"/>
  <c r="H33" i="3" s="1"/>
  <c r="J32" i="3"/>
  <c r="H32" i="3"/>
  <c r="G32" i="3"/>
  <c r="G31" i="3"/>
  <c r="J30" i="3"/>
  <c r="G30" i="3"/>
  <c r="H30" i="3" s="1"/>
  <c r="J29" i="3"/>
  <c r="H29" i="3"/>
  <c r="G29" i="3"/>
  <c r="G28" i="3"/>
  <c r="J27" i="3"/>
  <c r="G27" i="3"/>
  <c r="H27" i="3" s="1"/>
  <c r="J26" i="3"/>
  <c r="H26" i="3"/>
  <c r="G26" i="3"/>
  <c r="G25" i="3"/>
  <c r="J24" i="3"/>
  <c r="G24" i="3"/>
  <c r="H24" i="3" s="1"/>
  <c r="J23" i="3"/>
  <c r="H23" i="3"/>
  <c r="G23" i="3"/>
  <c r="G22" i="3"/>
  <c r="H21" i="3"/>
  <c r="G21" i="3"/>
  <c r="H20" i="3"/>
  <c r="G20" i="3"/>
  <c r="J20" i="3" s="1"/>
  <c r="G19" i="3"/>
  <c r="H19" i="3" s="1"/>
  <c r="J18" i="3"/>
  <c r="H18" i="3"/>
  <c r="G18" i="3"/>
  <c r="H17" i="3"/>
  <c r="G17" i="3"/>
  <c r="J17" i="3" s="1"/>
  <c r="G16" i="3"/>
  <c r="H16" i="3" s="1"/>
  <c r="J15" i="3"/>
  <c r="H15" i="3"/>
  <c r="G15" i="3"/>
  <c r="H14" i="3"/>
  <c r="G14" i="3"/>
  <c r="J14" i="3" s="1"/>
  <c r="G13" i="3"/>
  <c r="H13" i="3" s="1"/>
  <c r="H12" i="3"/>
  <c r="G12" i="3"/>
  <c r="G11" i="3"/>
  <c r="J10" i="3"/>
  <c r="G10" i="3"/>
  <c r="H10" i="3" s="1"/>
  <c r="J9" i="3"/>
  <c r="H9" i="3"/>
  <c r="G9" i="3"/>
  <c r="G63" i="2"/>
  <c r="G62" i="2"/>
  <c r="G61" i="2"/>
  <c r="G60" i="2"/>
  <c r="E55" i="2"/>
  <c r="D55" i="2"/>
  <c r="C55" i="2"/>
  <c r="E54" i="2"/>
  <c r="D54" i="2"/>
  <c r="C54" i="2"/>
  <c r="H48" i="2"/>
  <c r="G48" i="2"/>
  <c r="G47" i="2"/>
  <c r="H47" i="2" s="1"/>
  <c r="G46" i="2"/>
  <c r="H46" i="2" s="1"/>
  <c r="F39" i="2"/>
  <c r="E39" i="2"/>
  <c r="D39" i="2"/>
  <c r="C39" i="2"/>
  <c r="H38" i="2"/>
  <c r="G38" i="2"/>
  <c r="G37" i="2"/>
  <c r="H37" i="2" s="1"/>
  <c r="J36" i="2"/>
  <c r="H36" i="2"/>
  <c r="G36" i="2"/>
  <c r="G35" i="2"/>
  <c r="J34" i="2"/>
  <c r="G34" i="2"/>
  <c r="H34" i="2" s="1"/>
  <c r="J33" i="2"/>
  <c r="H33" i="2"/>
  <c r="G33" i="2"/>
  <c r="H32" i="2"/>
  <c r="G32" i="2"/>
  <c r="J31" i="2"/>
  <c r="G31" i="2"/>
  <c r="H31" i="2" s="1"/>
  <c r="J30" i="2"/>
  <c r="H30" i="2"/>
  <c r="G30" i="2"/>
  <c r="G29" i="2"/>
  <c r="J28" i="2"/>
  <c r="G28" i="2"/>
  <c r="H28" i="2" s="1"/>
  <c r="J27" i="2"/>
  <c r="H27" i="2"/>
  <c r="G27" i="2"/>
  <c r="H26" i="2"/>
  <c r="G26" i="2"/>
  <c r="J25" i="2"/>
  <c r="G25" i="2"/>
  <c r="H25" i="2" s="1"/>
  <c r="H24" i="2"/>
  <c r="G24" i="2"/>
  <c r="G23" i="2"/>
  <c r="J22" i="2"/>
  <c r="H22" i="2"/>
  <c r="G22" i="2"/>
  <c r="H21" i="2"/>
  <c r="G21" i="2"/>
  <c r="J21" i="2" s="1"/>
  <c r="G20" i="2"/>
  <c r="J19" i="2"/>
  <c r="H19" i="2"/>
  <c r="G19" i="2"/>
  <c r="H18" i="2"/>
  <c r="G18" i="2"/>
  <c r="J18" i="2" s="1"/>
  <c r="G17" i="2"/>
  <c r="J16" i="2"/>
  <c r="H16" i="2"/>
  <c r="G16" i="2"/>
  <c r="G15" i="2"/>
  <c r="J15" i="2" s="1"/>
  <c r="G14" i="2"/>
  <c r="J13" i="2"/>
  <c r="H13" i="2"/>
  <c r="G13" i="2"/>
  <c r="H12" i="2"/>
  <c r="G12" i="2"/>
  <c r="J12" i="2" s="1"/>
  <c r="G11" i="2"/>
  <c r="J10" i="2"/>
  <c r="H10" i="2"/>
  <c r="G10" i="2"/>
  <c r="H9" i="2"/>
  <c r="G9" i="2"/>
  <c r="J9" i="2" s="1"/>
  <c r="G67" i="1"/>
  <c r="G66" i="1"/>
  <c r="G65" i="1"/>
  <c r="G64" i="1"/>
  <c r="E59" i="1"/>
  <c r="D59" i="1"/>
  <c r="C59" i="1"/>
  <c r="E58" i="1"/>
  <c r="D58" i="1"/>
  <c r="C58" i="1"/>
  <c r="H52" i="1"/>
  <c r="G52" i="1"/>
  <c r="H51" i="1"/>
  <c r="G51" i="1"/>
  <c r="G50" i="1"/>
  <c r="H50" i="1" s="1"/>
  <c r="F43" i="1"/>
  <c r="E43" i="1"/>
  <c r="D43" i="1"/>
  <c r="C43" i="1"/>
  <c r="H42" i="1"/>
  <c r="G42" i="1"/>
  <c r="H41" i="1"/>
  <c r="G41" i="1"/>
  <c r="H40" i="1"/>
  <c r="G40" i="1"/>
  <c r="H39" i="1"/>
  <c r="G39" i="1"/>
  <c r="H38" i="1"/>
  <c r="G38" i="1"/>
  <c r="J38" i="1" s="1"/>
  <c r="G37" i="1"/>
  <c r="J36" i="1"/>
  <c r="H36" i="1"/>
  <c r="G36" i="1"/>
  <c r="H35" i="1"/>
  <c r="G35" i="1"/>
  <c r="J34" i="1"/>
  <c r="G34" i="1"/>
  <c r="H34" i="1" s="1"/>
  <c r="J33" i="1"/>
  <c r="H33" i="1"/>
  <c r="G33" i="1"/>
  <c r="G32" i="1"/>
  <c r="J31" i="1"/>
  <c r="G31" i="1"/>
  <c r="H31" i="1" s="1"/>
  <c r="J30" i="1"/>
  <c r="H30" i="1"/>
  <c r="G30" i="1"/>
  <c r="H29" i="1"/>
  <c r="G29" i="1"/>
  <c r="J28" i="1"/>
  <c r="G28" i="1"/>
  <c r="H28" i="1" s="1"/>
  <c r="J27" i="1"/>
  <c r="H27" i="1"/>
  <c r="G27" i="1"/>
  <c r="H26" i="1"/>
  <c r="G26" i="1"/>
  <c r="J25" i="1"/>
  <c r="G25" i="1"/>
  <c r="H25" i="1" s="1"/>
  <c r="J24" i="1"/>
  <c r="H24" i="1"/>
  <c r="G24" i="1"/>
  <c r="G23" i="1"/>
  <c r="J22" i="1"/>
  <c r="G22" i="1"/>
  <c r="H22" i="1" s="1"/>
  <c r="J21" i="1"/>
  <c r="H21" i="1"/>
  <c r="G21" i="1"/>
  <c r="H20" i="1"/>
  <c r="G20" i="1"/>
  <c r="J19" i="1"/>
  <c r="G19" i="1"/>
  <c r="H19" i="1" s="1"/>
  <c r="J18" i="1"/>
  <c r="H18" i="1"/>
  <c r="G18" i="1"/>
  <c r="H17" i="1"/>
  <c r="G17" i="1"/>
  <c r="J16" i="1"/>
  <c r="G16" i="1"/>
  <c r="H16" i="1" s="1"/>
  <c r="J15" i="1"/>
  <c r="H15" i="1"/>
  <c r="G15" i="1"/>
  <c r="G14" i="1"/>
  <c r="J13" i="1"/>
  <c r="G13" i="1"/>
  <c r="H13" i="1" s="1"/>
  <c r="J12" i="1"/>
  <c r="H12" i="1"/>
  <c r="G12" i="1"/>
  <c r="H11" i="1"/>
  <c r="G11" i="1"/>
  <c r="G43" i="1" s="1"/>
  <c r="J10" i="1"/>
  <c r="G10" i="1"/>
  <c r="H10" i="1" s="1"/>
  <c r="J9" i="1"/>
  <c r="H9" i="1"/>
  <c r="G9" i="1"/>
  <c r="I34" i="1" l="1"/>
  <c r="I31" i="1"/>
  <c r="I28" i="1"/>
  <c r="I25" i="1"/>
  <c r="I22" i="1"/>
  <c r="I19" i="1"/>
  <c r="I16" i="1"/>
  <c r="I13" i="1"/>
  <c r="I10" i="1"/>
  <c r="I41" i="1"/>
  <c r="I36" i="1"/>
  <c r="I27" i="1"/>
  <c r="I18" i="1"/>
  <c r="I9" i="1"/>
  <c r="I38" i="1"/>
  <c r="F44" i="1"/>
  <c r="I33" i="1"/>
  <c r="I24" i="1"/>
  <c r="I15" i="1"/>
  <c r="E44" i="1"/>
  <c r="I39" i="1"/>
  <c r="I30" i="1"/>
  <c r="I21" i="1"/>
  <c r="I12" i="1"/>
  <c r="I17" i="1"/>
  <c r="J17" i="1"/>
  <c r="I26" i="1"/>
  <c r="J26" i="1"/>
  <c r="I35" i="1"/>
  <c r="H37" i="1"/>
  <c r="J37" i="1"/>
  <c r="I37" i="1"/>
  <c r="I42" i="1"/>
  <c r="I32" i="2"/>
  <c r="J32" i="2"/>
  <c r="H34" i="3"/>
  <c r="C45" i="3"/>
  <c r="I35" i="4"/>
  <c r="H35" i="4"/>
  <c r="F43" i="4"/>
  <c r="C40" i="7"/>
  <c r="I9" i="8"/>
  <c r="I35" i="9"/>
  <c r="I40" i="1"/>
  <c r="H39" i="2"/>
  <c r="H11" i="2"/>
  <c r="J11" i="2"/>
  <c r="H20" i="2"/>
  <c r="J20" i="2"/>
  <c r="I20" i="2"/>
  <c r="F40" i="2"/>
  <c r="I38" i="4"/>
  <c r="I33" i="4"/>
  <c r="I30" i="4"/>
  <c r="I27" i="4"/>
  <c r="I24" i="4"/>
  <c r="I21" i="4"/>
  <c r="I18" i="4"/>
  <c r="I15" i="4"/>
  <c r="I12" i="4"/>
  <c r="I9" i="4"/>
  <c r="I39" i="4"/>
  <c r="I36" i="4"/>
  <c r="I34" i="4"/>
  <c r="I31" i="4"/>
  <c r="I28" i="4"/>
  <c r="I25" i="4"/>
  <c r="I22" i="4"/>
  <c r="I19" i="4"/>
  <c r="I16" i="4"/>
  <c r="I13" i="4"/>
  <c r="I10" i="4"/>
  <c r="C49" i="5"/>
  <c r="I24" i="7"/>
  <c r="I21" i="7"/>
  <c r="I18" i="7"/>
  <c r="I15" i="7"/>
  <c r="I12" i="7"/>
  <c r="I9" i="7"/>
  <c r="I36" i="7"/>
  <c r="I33" i="7"/>
  <c r="I30" i="7"/>
  <c r="I27" i="7"/>
  <c r="I22" i="7"/>
  <c r="I19" i="7"/>
  <c r="I16" i="7"/>
  <c r="I13" i="7"/>
  <c r="I10" i="7"/>
  <c r="I37" i="7"/>
  <c r="I34" i="7"/>
  <c r="I31" i="7"/>
  <c r="I28" i="7"/>
  <c r="I25" i="7"/>
  <c r="D40" i="7"/>
  <c r="I15" i="10"/>
  <c r="I39" i="11"/>
  <c r="C44" i="11"/>
  <c r="I11" i="1"/>
  <c r="J11" i="1"/>
  <c r="I20" i="1"/>
  <c r="J20" i="1"/>
  <c r="I29" i="1"/>
  <c r="J29" i="1"/>
  <c r="C44" i="1"/>
  <c r="H23" i="2"/>
  <c r="J23" i="2"/>
  <c r="J26" i="2"/>
  <c r="I35" i="2"/>
  <c r="H35" i="2"/>
  <c r="J35" i="2"/>
  <c r="G39" i="2"/>
  <c r="I26" i="2" s="1"/>
  <c r="H22" i="3"/>
  <c r="J22" i="3"/>
  <c r="I41" i="3"/>
  <c r="H41" i="3"/>
  <c r="E40" i="7"/>
  <c r="D44" i="11"/>
  <c r="C41" i="16"/>
  <c r="D44" i="1"/>
  <c r="H14" i="2"/>
  <c r="J14" i="2"/>
  <c r="I14" i="2"/>
  <c r="I25" i="3"/>
  <c r="H25" i="3"/>
  <c r="J25" i="3"/>
  <c r="H42" i="4"/>
  <c r="I31" i="5"/>
  <c r="H31" i="5"/>
  <c r="H48" i="5" s="1"/>
  <c r="J31" i="5"/>
  <c r="I33" i="10"/>
  <c r="I35" i="11"/>
  <c r="I17" i="11"/>
  <c r="I25" i="11"/>
  <c r="I20" i="11"/>
  <c r="I42" i="11"/>
  <c r="I40" i="11"/>
  <c r="I28" i="11"/>
  <c r="I23" i="11"/>
  <c r="I10" i="11"/>
  <c r="I36" i="11"/>
  <c r="I31" i="11"/>
  <c r="I26" i="11"/>
  <c r="I13" i="11"/>
  <c r="I34" i="11"/>
  <c r="I29" i="11"/>
  <c r="I16" i="11"/>
  <c r="I11" i="11"/>
  <c r="I32" i="11"/>
  <c r="I14" i="11"/>
  <c r="I37" i="11"/>
  <c r="E44" i="11"/>
  <c r="F35" i="14"/>
  <c r="D43" i="20"/>
  <c r="I14" i="1"/>
  <c r="J14" i="1"/>
  <c r="I23" i="1"/>
  <c r="J23" i="1"/>
  <c r="I32" i="1"/>
  <c r="J32" i="1"/>
  <c r="I12" i="2"/>
  <c r="I29" i="2"/>
  <c r="J29" i="2"/>
  <c r="C40" i="2"/>
  <c r="H28" i="3"/>
  <c r="J28" i="3"/>
  <c r="G48" i="5"/>
  <c r="E49" i="5" s="1"/>
  <c r="H34" i="5"/>
  <c r="J34" i="5"/>
  <c r="F49" i="5"/>
  <c r="C43" i="8"/>
  <c r="F45" i="17"/>
  <c r="H14" i="1"/>
  <c r="H43" i="1" s="1"/>
  <c r="H23" i="1"/>
  <c r="H32" i="1"/>
  <c r="H15" i="2"/>
  <c r="H17" i="2"/>
  <c r="J17" i="2"/>
  <c r="I17" i="2"/>
  <c r="H29" i="2"/>
  <c r="D40" i="2"/>
  <c r="I11" i="3"/>
  <c r="G44" i="3"/>
  <c r="H11" i="3"/>
  <c r="H44" i="3" s="1"/>
  <c r="J11" i="3"/>
  <c r="I31" i="3"/>
  <c r="H31" i="3"/>
  <c r="J31" i="3"/>
  <c r="I39" i="3"/>
  <c r="H39" i="3"/>
  <c r="I43" i="3"/>
  <c r="H43" i="3"/>
  <c r="E43" i="4"/>
  <c r="H37" i="5"/>
  <c r="J37" i="5"/>
  <c r="I40" i="5"/>
  <c r="I29" i="7"/>
  <c r="I32" i="7"/>
  <c r="I35" i="7"/>
  <c r="I38" i="7"/>
  <c r="I27" i="9"/>
  <c r="I18" i="9"/>
  <c r="I9" i="9"/>
  <c r="F37" i="9"/>
  <c r="I25" i="9"/>
  <c r="I23" i="9"/>
  <c r="I16" i="9"/>
  <c r="I14" i="9"/>
  <c r="I34" i="9"/>
  <c r="I32" i="9"/>
  <c r="I30" i="9"/>
  <c r="I21" i="9"/>
  <c r="I12" i="9"/>
  <c r="I28" i="9"/>
  <c r="I26" i="9"/>
  <c r="I19" i="9"/>
  <c r="I17" i="9"/>
  <c r="I10" i="9"/>
  <c r="I22" i="11"/>
  <c r="I13" i="3"/>
  <c r="I16" i="3"/>
  <c r="I19" i="3"/>
  <c r="I36" i="3"/>
  <c r="I11" i="4"/>
  <c r="I14" i="4"/>
  <c r="I17" i="4"/>
  <c r="I20" i="4"/>
  <c r="I23" i="4"/>
  <c r="I26" i="4"/>
  <c r="I29" i="4"/>
  <c r="I32" i="4"/>
  <c r="I37" i="4"/>
  <c r="I40" i="4"/>
  <c r="I16" i="5"/>
  <c r="I19" i="5"/>
  <c r="I22" i="5"/>
  <c r="I28" i="5"/>
  <c r="J45" i="5"/>
  <c r="J14" i="6"/>
  <c r="J17" i="6"/>
  <c r="J20" i="6"/>
  <c r="J23" i="6"/>
  <c r="J26" i="6"/>
  <c r="J29" i="6"/>
  <c r="J32" i="6"/>
  <c r="J35" i="6"/>
  <c r="I11" i="7"/>
  <c r="I14" i="7"/>
  <c r="I17" i="7"/>
  <c r="I20" i="7"/>
  <c r="I23" i="7"/>
  <c r="J26" i="7"/>
  <c r="J29" i="7"/>
  <c r="J32" i="7"/>
  <c r="J35" i="7"/>
  <c r="J38" i="7"/>
  <c r="J9" i="8"/>
  <c r="J12" i="8"/>
  <c r="I17" i="8"/>
  <c r="I20" i="8"/>
  <c r="I35" i="8"/>
  <c r="I38" i="8"/>
  <c r="J13" i="9"/>
  <c r="I15" i="9"/>
  <c r="H17" i="9"/>
  <c r="J22" i="9"/>
  <c r="I24" i="9"/>
  <c r="H26" i="9"/>
  <c r="J35" i="9"/>
  <c r="J15" i="10"/>
  <c r="I19" i="10"/>
  <c r="J24" i="10"/>
  <c r="J33" i="10"/>
  <c r="I45" i="10"/>
  <c r="J9" i="11"/>
  <c r="I19" i="11"/>
  <c r="I21" i="11"/>
  <c r="J22" i="11"/>
  <c r="I38" i="11"/>
  <c r="J39" i="11"/>
  <c r="I41" i="11"/>
  <c r="J9" i="12"/>
  <c r="J11" i="12"/>
  <c r="J17" i="12"/>
  <c r="J23" i="12"/>
  <c r="J29" i="12"/>
  <c r="H36" i="12"/>
  <c r="J16" i="13"/>
  <c r="J22" i="13"/>
  <c r="J28" i="13"/>
  <c r="J34" i="13"/>
  <c r="H41" i="13"/>
  <c r="J48" i="13"/>
  <c r="I11" i="14"/>
  <c r="J11" i="14"/>
  <c r="J30" i="14"/>
  <c r="D35" i="14"/>
  <c r="I9" i="15"/>
  <c r="J35" i="15"/>
  <c r="F40" i="15"/>
  <c r="I14" i="16"/>
  <c r="J10" i="17"/>
  <c r="J16" i="17"/>
  <c r="H28" i="17"/>
  <c r="I33" i="17"/>
  <c r="H33" i="17"/>
  <c r="J33" i="17"/>
  <c r="J36" i="17"/>
  <c r="J41" i="17"/>
  <c r="I41" i="17"/>
  <c r="C45" i="17"/>
  <c r="J24" i="18"/>
  <c r="H10" i="20"/>
  <c r="J10" i="20"/>
  <c r="H28" i="20"/>
  <c r="J28" i="20"/>
  <c r="F42" i="23"/>
  <c r="F40" i="25"/>
  <c r="J13" i="3"/>
  <c r="J16" i="3"/>
  <c r="J19" i="3"/>
  <c r="J11" i="4"/>
  <c r="J14" i="4"/>
  <c r="J17" i="4"/>
  <c r="J20" i="4"/>
  <c r="J23" i="4"/>
  <c r="J26" i="4"/>
  <c r="J29" i="4"/>
  <c r="J32" i="4"/>
  <c r="J37" i="4"/>
  <c r="J13" i="5"/>
  <c r="J16" i="5"/>
  <c r="J19" i="5"/>
  <c r="J22" i="5"/>
  <c r="J25" i="5"/>
  <c r="J42" i="5"/>
  <c r="J40" i="6"/>
  <c r="J11" i="7"/>
  <c r="J14" i="7"/>
  <c r="J17" i="7"/>
  <c r="J20" i="7"/>
  <c r="J23" i="7"/>
  <c r="J17" i="8"/>
  <c r="J20" i="8"/>
  <c r="J23" i="8"/>
  <c r="J26" i="8"/>
  <c r="J29" i="8"/>
  <c r="J32" i="8"/>
  <c r="J35" i="8"/>
  <c r="J38" i="8"/>
  <c r="J15" i="9"/>
  <c r="J24" i="9"/>
  <c r="G47" i="10"/>
  <c r="I10" i="10" s="1"/>
  <c r="I18" i="11"/>
  <c r="J19" i="11"/>
  <c r="F44" i="11"/>
  <c r="J10" i="12"/>
  <c r="J16" i="12"/>
  <c r="J22" i="12"/>
  <c r="J28" i="12"/>
  <c r="J34" i="12"/>
  <c r="J15" i="13"/>
  <c r="I21" i="13"/>
  <c r="J21" i="13"/>
  <c r="J27" i="13"/>
  <c r="J33" i="13"/>
  <c r="I39" i="13"/>
  <c r="J39" i="13"/>
  <c r="J9" i="15"/>
  <c r="J15" i="15"/>
  <c r="G39" i="15"/>
  <c r="C40" i="15" s="1"/>
  <c r="H15" i="16"/>
  <c r="I15" i="16"/>
  <c r="H21" i="16"/>
  <c r="H27" i="16"/>
  <c r="H33" i="16"/>
  <c r="I33" i="16"/>
  <c r="H39" i="16"/>
  <c r="I9" i="17"/>
  <c r="G44" i="17"/>
  <c r="J9" i="17"/>
  <c r="I15" i="17"/>
  <c r="J15" i="17"/>
  <c r="J21" i="17"/>
  <c r="D45" i="17"/>
  <c r="J15" i="18"/>
  <c r="I15" i="18"/>
  <c r="J27" i="18"/>
  <c r="H13" i="20"/>
  <c r="J13" i="20"/>
  <c r="I31" i="20"/>
  <c r="H31" i="20"/>
  <c r="H35" i="20"/>
  <c r="I39" i="21"/>
  <c r="D42" i="31"/>
  <c r="D37" i="9"/>
  <c r="I42" i="10"/>
  <c r="I15" i="11"/>
  <c r="I33" i="11"/>
  <c r="G40" i="12"/>
  <c r="I35" i="12" s="1"/>
  <c r="H16" i="14"/>
  <c r="H34" i="14" s="1"/>
  <c r="H22" i="14"/>
  <c r="I14" i="15"/>
  <c r="J14" i="15"/>
  <c r="I20" i="15"/>
  <c r="H22" i="15"/>
  <c r="H39" i="15" s="1"/>
  <c r="H28" i="15"/>
  <c r="I28" i="15"/>
  <c r="H34" i="15"/>
  <c r="I34" i="15"/>
  <c r="G40" i="16"/>
  <c r="D41" i="16" s="1"/>
  <c r="J13" i="16"/>
  <c r="J30" i="18"/>
  <c r="I30" i="18"/>
  <c r="H16" i="20"/>
  <c r="J16" i="20"/>
  <c r="I23" i="26"/>
  <c r="I31" i="9"/>
  <c r="I12" i="11"/>
  <c r="I30" i="11"/>
  <c r="I14" i="14"/>
  <c r="J14" i="14"/>
  <c r="G34" i="14"/>
  <c r="I24" i="17"/>
  <c r="H24" i="17"/>
  <c r="J24" i="17"/>
  <c r="J9" i="18"/>
  <c r="G38" i="18"/>
  <c r="D39" i="18" s="1"/>
  <c r="J18" i="18"/>
  <c r="I18" i="18"/>
  <c r="J33" i="18"/>
  <c r="I19" i="20"/>
  <c r="H19" i="20"/>
  <c r="J19" i="20"/>
  <c r="E43" i="20"/>
  <c r="H39" i="25"/>
  <c r="I28" i="30"/>
  <c r="C39" i="30"/>
  <c r="H40" i="5"/>
  <c r="H45" i="5"/>
  <c r="H14" i="6"/>
  <c r="H17" i="6"/>
  <c r="H20" i="6"/>
  <c r="H42" i="6" s="1"/>
  <c r="H23" i="6"/>
  <c r="H26" i="6"/>
  <c r="H29" i="6"/>
  <c r="H32" i="6"/>
  <c r="H35" i="6"/>
  <c r="H38" i="6"/>
  <c r="G42" i="6"/>
  <c r="H26" i="7"/>
  <c r="H39" i="7" s="1"/>
  <c r="H29" i="7"/>
  <c r="H32" i="7"/>
  <c r="H35" i="7"/>
  <c r="H38" i="7"/>
  <c r="H9" i="8"/>
  <c r="H42" i="8" s="1"/>
  <c r="H12" i="8"/>
  <c r="H15" i="8"/>
  <c r="H41" i="8"/>
  <c r="G42" i="8"/>
  <c r="F43" i="8" s="1"/>
  <c r="H11" i="9"/>
  <c r="H36" i="9" s="1"/>
  <c r="H20" i="9"/>
  <c r="H29" i="9"/>
  <c r="H31" i="9"/>
  <c r="I33" i="9"/>
  <c r="H35" i="9"/>
  <c r="I13" i="10"/>
  <c r="H15" i="10"/>
  <c r="H47" i="10" s="1"/>
  <c r="I22" i="10"/>
  <c r="H24" i="10"/>
  <c r="I31" i="10"/>
  <c r="H33" i="10"/>
  <c r="I37" i="10"/>
  <c r="I9" i="11"/>
  <c r="H12" i="11"/>
  <c r="H22" i="11"/>
  <c r="I27" i="11"/>
  <c r="H30" i="11"/>
  <c r="H37" i="11"/>
  <c r="H39" i="11"/>
  <c r="H11" i="12"/>
  <c r="J13" i="12"/>
  <c r="H17" i="12"/>
  <c r="J19" i="12"/>
  <c r="H23" i="12"/>
  <c r="J25" i="12"/>
  <c r="H29" i="12"/>
  <c r="J31" i="12"/>
  <c r="H35" i="12"/>
  <c r="H9" i="13"/>
  <c r="H16" i="13"/>
  <c r="J18" i="13"/>
  <c r="H22" i="13"/>
  <c r="J24" i="13"/>
  <c r="H28" i="13"/>
  <c r="J30" i="13"/>
  <c r="H34" i="13"/>
  <c r="J36" i="13"/>
  <c r="H40" i="13"/>
  <c r="G50" i="13"/>
  <c r="H14" i="14"/>
  <c r="H35" i="15"/>
  <c r="I37" i="15"/>
  <c r="H16" i="16"/>
  <c r="H18" i="16"/>
  <c r="I18" i="16"/>
  <c r="H22" i="16"/>
  <c r="H24" i="16"/>
  <c r="I24" i="16"/>
  <c r="H28" i="16"/>
  <c r="H30" i="16"/>
  <c r="I30" i="16"/>
  <c r="H34" i="16"/>
  <c r="H36" i="16"/>
  <c r="I36" i="16"/>
  <c r="H10" i="17"/>
  <c r="H44" i="17" s="1"/>
  <c r="I12" i="17"/>
  <c r="J12" i="17"/>
  <c r="H16" i="17"/>
  <c r="I18" i="17"/>
  <c r="J18" i="17"/>
  <c r="H22" i="17"/>
  <c r="I27" i="17"/>
  <c r="H27" i="17"/>
  <c r="J27" i="17"/>
  <c r="H9" i="18"/>
  <c r="H18" i="18"/>
  <c r="H33" i="18"/>
  <c r="I36" i="18"/>
  <c r="F39" i="18"/>
  <c r="G42" i="20"/>
  <c r="I13" i="20" s="1"/>
  <c r="I22" i="20"/>
  <c r="H22" i="20"/>
  <c r="J22" i="20"/>
  <c r="I33" i="20"/>
  <c r="H33" i="20"/>
  <c r="I37" i="20"/>
  <c r="H37" i="20"/>
  <c r="J37" i="20"/>
  <c r="I40" i="20"/>
  <c r="F43" i="20"/>
  <c r="F42" i="26"/>
  <c r="I18" i="26"/>
  <c r="E42" i="26"/>
  <c r="I39" i="26"/>
  <c r="I37" i="26"/>
  <c r="I35" i="26"/>
  <c r="I26" i="26"/>
  <c r="I21" i="26"/>
  <c r="I33" i="26"/>
  <c r="I31" i="26"/>
  <c r="I24" i="26"/>
  <c r="I12" i="26"/>
  <c r="I10" i="26"/>
  <c r="I29" i="26"/>
  <c r="I27" i="26"/>
  <c r="I40" i="26"/>
  <c r="I36" i="26"/>
  <c r="I34" i="26"/>
  <c r="I17" i="26"/>
  <c r="I15" i="26"/>
  <c r="I13" i="26"/>
  <c r="I22" i="30"/>
  <c r="D39" i="30"/>
  <c r="J9" i="7"/>
  <c r="J9" i="9"/>
  <c r="I11" i="9"/>
  <c r="I13" i="9"/>
  <c r="I20" i="9"/>
  <c r="I22" i="9"/>
  <c r="I29" i="9"/>
  <c r="J31" i="9"/>
  <c r="J33" i="9"/>
  <c r="J13" i="10"/>
  <c r="H17" i="10"/>
  <c r="J22" i="10"/>
  <c r="H26" i="10"/>
  <c r="J31" i="10"/>
  <c r="H35" i="10"/>
  <c r="H37" i="10"/>
  <c r="I39" i="10"/>
  <c r="H9" i="11"/>
  <c r="J12" i="11"/>
  <c r="I24" i="11"/>
  <c r="H27" i="11"/>
  <c r="J30" i="11"/>
  <c r="I9" i="12"/>
  <c r="H13" i="12"/>
  <c r="H40" i="12" s="1"/>
  <c r="H19" i="12"/>
  <c r="H25" i="12"/>
  <c r="H31" i="12"/>
  <c r="H18" i="13"/>
  <c r="H24" i="13"/>
  <c r="H30" i="13"/>
  <c r="H36" i="13"/>
  <c r="H17" i="14"/>
  <c r="H19" i="14"/>
  <c r="I19" i="14"/>
  <c r="H23" i="14"/>
  <c r="H25" i="14"/>
  <c r="I25" i="14"/>
  <c r="C35" i="14"/>
  <c r="I11" i="15"/>
  <c r="J11" i="15"/>
  <c r="I17" i="15"/>
  <c r="J17" i="15"/>
  <c r="H23" i="15"/>
  <c r="H25" i="15"/>
  <c r="I25" i="15"/>
  <c r="H29" i="15"/>
  <c r="H31" i="15"/>
  <c r="I31" i="15"/>
  <c r="H37" i="15"/>
  <c r="E40" i="15"/>
  <c r="I10" i="16"/>
  <c r="J10" i="16"/>
  <c r="I16" i="16"/>
  <c r="J18" i="16"/>
  <c r="I22" i="16"/>
  <c r="J24" i="16"/>
  <c r="I28" i="16"/>
  <c r="J30" i="16"/>
  <c r="I34" i="16"/>
  <c r="J36" i="16"/>
  <c r="H12" i="17"/>
  <c r="H18" i="17"/>
  <c r="I22" i="17"/>
  <c r="H25" i="17"/>
  <c r="I30" i="17"/>
  <c r="H30" i="17"/>
  <c r="J30" i="17"/>
  <c r="I38" i="17"/>
  <c r="H38" i="17"/>
  <c r="I43" i="17"/>
  <c r="H43" i="17"/>
  <c r="J12" i="18"/>
  <c r="I12" i="18"/>
  <c r="J21" i="18"/>
  <c r="I21" i="18"/>
  <c r="H36" i="18"/>
  <c r="I25" i="20"/>
  <c r="H25" i="20"/>
  <c r="J25" i="20"/>
  <c r="E42" i="23"/>
  <c r="C42" i="26"/>
  <c r="I16" i="30"/>
  <c r="H9" i="16"/>
  <c r="I40" i="17"/>
  <c r="I11" i="18"/>
  <c r="I14" i="18"/>
  <c r="I17" i="18"/>
  <c r="I20" i="18"/>
  <c r="I23" i="18"/>
  <c r="I26" i="18"/>
  <c r="I29" i="18"/>
  <c r="I32" i="18"/>
  <c r="I35" i="18"/>
  <c r="H9" i="20"/>
  <c r="I9" i="21"/>
  <c r="I12" i="21"/>
  <c r="I27" i="21"/>
  <c r="I30" i="21"/>
  <c r="J41" i="21"/>
  <c r="J10" i="22"/>
  <c r="J27" i="22"/>
  <c r="I13" i="23"/>
  <c r="H15" i="23"/>
  <c r="J20" i="23"/>
  <c r="H24" i="23"/>
  <c r="J29" i="23"/>
  <c r="I31" i="23"/>
  <c r="H33" i="23"/>
  <c r="J10" i="24"/>
  <c r="H24" i="24"/>
  <c r="J29" i="24"/>
  <c r="H35" i="24"/>
  <c r="G39" i="25"/>
  <c r="H14" i="25"/>
  <c r="J19" i="25"/>
  <c r="I21" i="25"/>
  <c r="H23" i="25"/>
  <c r="I20" i="26"/>
  <c r="I22" i="26"/>
  <c r="J23" i="26"/>
  <c r="J30" i="26"/>
  <c r="I32" i="26"/>
  <c r="H34" i="26"/>
  <c r="I38" i="26"/>
  <c r="J9" i="27"/>
  <c r="I13" i="27"/>
  <c r="J18" i="27"/>
  <c r="J27" i="27"/>
  <c r="I31" i="27"/>
  <c r="H42" i="27"/>
  <c r="I11" i="28"/>
  <c r="I17" i="28"/>
  <c r="J29" i="28"/>
  <c r="J16" i="30"/>
  <c r="J22" i="30"/>
  <c r="J28" i="30"/>
  <c r="I35" i="30"/>
  <c r="J35" i="30"/>
  <c r="H44" i="32"/>
  <c r="J21" i="33"/>
  <c r="D44" i="41"/>
  <c r="J23" i="18"/>
  <c r="J26" i="18"/>
  <c r="J29" i="18"/>
  <c r="J32" i="18"/>
  <c r="J35" i="18"/>
  <c r="J9" i="19"/>
  <c r="J12" i="19"/>
  <c r="J15" i="19"/>
  <c r="J18" i="19"/>
  <c r="J21" i="19"/>
  <c r="G24" i="19"/>
  <c r="I12" i="19" s="1"/>
  <c r="J9" i="21"/>
  <c r="J12" i="21"/>
  <c r="J15" i="21"/>
  <c r="J18" i="21"/>
  <c r="J21" i="21"/>
  <c r="J24" i="21"/>
  <c r="J27" i="21"/>
  <c r="J30" i="21"/>
  <c r="J33" i="21"/>
  <c r="J36" i="21"/>
  <c r="G46" i="21"/>
  <c r="J12" i="22"/>
  <c r="J24" i="22"/>
  <c r="J13" i="23"/>
  <c r="J22" i="23"/>
  <c r="J31" i="23"/>
  <c r="J22" i="24"/>
  <c r="J31" i="24"/>
  <c r="J21" i="25"/>
  <c r="I19" i="26"/>
  <c r="J20" i="26"/>
  <c r="J32" i="26"/>
  <c r="J33" i="27"/>
  <c r="H47" i="27"/>
  <c r="J28" i="28"/>
  <c r="I34" i="28"/>
  <c r="H36" i="28"/>
  <c r="H9" i="29"/>
  <c r="H15" i="29"/>
  <c r="I15" i="29"/>
  <c r="H21" i="29"/>
  <c r="H27" i="29"/>
  <c r="H33" i="29"/>
  <c r="I33" i="29"/>
  <c r="H39" i="29"/>
  <c r="G43" i="29"/>
  <c r="C44" i="29" s="1"/>
  <c r="J15" i="30"/>
  <c r="I21" i="30"/>
  <c r="J21" i="30"/>
  <c r="J27" i="30"/>
  <c r="H9" i="31"/>
  <c r="G41" i="31"/>
  <c r="H15" i="31"/>
  <c r="H21" i="31"/>
  <c r="I21" i="31"/>
  <c r="H27" i="31"/>
  <c r="H33" i="31"/>
  <c r="H9" i="32"/>
  <c r="G47" i="32"/>
  <c r="D48" i="32" s="1"/>
  <c r="J9" i="32"/>
  <c r="H14" i="32"/>
  <c r="J14" i="32"/>
  <c r="H23" i="32"/>
  <c r="J23" i="32"/>
  <c r="J26" i="32"/>
  <c r="H39" i="32"/>
  <c r="J39" i="32"/>
  <c r="J24" i="33"/>
  <c r="I29" i="33"/>
  <c r="H29" i="33"/>
  <c r="J29" i="33"/>
  <c r="F45" i="33"/>
  <c r="G29" i="22"/>
  <c r="D30" i="22" s="1"/>
  <c r="I11" i="25"/>
  <c r="I36" i="25"/>
  <c r="J32" i="27"/>
  <c r="H40" i="27"/>
  <c r="H10" i="28"/>
  <c r="H39" i="28" s="1"/>
  <c r="H16" i="28"/>
  <c r="H22" i="28"/>
  <c r="I22" i="28"/>
  <c r="G38" i="30"/>
  <c r="I27" i="30" s="1"/>
  <c r="H42" i="32"/>
  <c r="G44" i="33"/>
  <c r="J9" i="33"/>
  <c r="I9" i="33"/>
  <c r="J27" i="33"/>
  <c r="I27" i="33"/>
  <c r="I32" i="33"/>
  <c r="H32" i="33"/>
  <c r="J32" i="33"/>
  <c r="I11" i="34"/>
  <c r="I26" i="34"/>
  <c r="I29" i="34"/>
  <c r="I37" i="35"/>
  <c r="F41" i="35"/>
  <c r="I31" i="35"/>
  <c r="I22" i="35"/>
  <c r="I29" i="35"/>
  <c r="I27" i="35"/>
  <c r="I20" i="35"/>
  <c r="I17" i="35"/>
  <c r="I14" i="35"/>
  <c r="I11" i="35"/>
  <c r="I36" i="35"/>
  <c r="I34" i="35"/>
  <c r="I25" i="35"/>
  <c r="C41" i="35"/>
  <c r="I37" i="41"/>
  <c r="I32" i="41"/>
  <c r="I30" i="41"/>
  <c r="I26" i="41"/>
  <c r="I24" i="41"/>
  <c r="I18" i="41"/>
  <c r="I16" i="41"/>
  <c r="I12" i="41"/>
  <c r="I10" i="41"/>
  <c r="I40" i="41"/>
  <c r="I38" i="41"/>
  <c r="I33" i="41"/>
  <c r="I29" i="41"/>
  <c r="I27" i="41"/>
  <c r="I23" i="41"/>
  <c r="I21" i="41"/>
  <c r="I19" i="41"/>
  <c r="I15" i="41"/>
  <c r="I13" i="41"/>
  <c r="I9" i="41"/>
  <c r="I42" i="41"/>
  <c r="H39" i="43"/>
  <c r="I18" i="24"/>
  <c r="G43" i="24"/>
  <c r="E44" i="24" s="1"/>
  <c r="I31" i="25"/>
  <c r="I14" i="26"/>
  <c r="H45" i="27"/>
  <c r="I45" i="27"/>
  <c r="G49" i="27"/>
  <c r="H38" i="31"/>
  <c r="H12" i="32"/>
  <c r="I12" i="32"/>
  <c r="H17" i="32"/>
  <c r="J17" i="32"/>
  <c r="H29" i="32"/>
  <c r="J29" i="32"/>
  <c r="H37" i="32"/>
  <c r="J12" i="33"/>
  <c r="I12" i="33"/>
  <c r="I35" i="33"/>
  <c r="H35" i="33"/>
  <c r="J35" i="33"/>
  <c r="I22" i="19"/>
  <c r="I10" i="21"/>
  <c r="I13" i="21"/>
  <c r="I16" i="21"/>
  <c r="I19" i="21"/>
  <c r="I22" i="21"/>
  <c r="I25" i="21"/>
  <c r="I28" i="21"/>
  <c r="I31" i="21"/>
  <c r="I34" i="21"/>
  <c r="H41" i="21"/>
  <c r="H46" i="21" s="1"/>
  <c r="I44" i="21"/>
  <c r="H10" i="22"/>
  <c r="H29" i="22" s="1"/>
  <c r="J20" i="22"/>
  <c r="H27" i="22"/>
  <c r="G41" i="23"/>
  <c r="H9" i="23"/>
  <c r="J14" i="23"/>
  <c r="H18" i="23"/>
  <c r="J23" i="23"/>
  <c r="I25" i="23"/>
  <c r="H27" i="23"/>
  <c r="J32" i="23"/>
  <c r="H10" i="24"/>
  <c r="I13" i="24"/>
  <c r="I15" i="24"/>
  <c r="H18" i="24"/>
  <c r="H43" i="24" s="1"/>
  <c r="J23" i="24"/>
  <c r="H27" i="24"/>
  <c r="J32" i="24"/>
  <c r="I39" i="24"/>
  <c r="J11" i="25"/>
  <c r="J13" i="25"/>
  <c r="I15" i="25"/>
  <c r="H17" i="25"/>
  <c r="J22" i="25"/>
  <c r="I24" i="25"/>
  <c r="I26" i="25"/>
  <c r="I28" i="25"/>
  <c r="H31" i="25"/>
  <c r="J36" i="25"/>
  <c r="I11" i="26"/>
  <c r="H14" i="26"/>
  <c r="H41" i="26" s="1"/>
  <c r="I16" i="26"/>
  <c r="H23" i="26"/>
  <c r="I28" i="26"/>
  <c r="D42" i="26"/>
  <c r="H9" i="27"/>
  <c r="I16" i="27"/>
  <c r="H18" i="27"/>
  <c r="H27" i="27"/>
  <c r="H41" i="27"/>
  <c r="G39" i="28"/>
  <c r="H29" i="28"/>
  <c r="I31" i="28"/>
  <c r="J31" i="28"/>
  <c r="H37" i="28"/>
  <c r="H10" i="29"/>
  <c r="H12" i="29"/>
  <c r="I12" i="29"/>
  <c r="H16" i="29"/>
  <c r="H18" i="29"/>
  <c r="I18" i="29"/>
  <c r="H22" i="29"/>
  <c r="H24" i="29"/>
  <c r="I24" i="29"/>
  <c r="H28" i="29"/>
  <c r="H30" i="29"/>
  <c r="I30" i="29"/>
  <c r="H34" i="29"/>
  <c r="H36" i="29"/>
  <c r="I36" i="29"/>
  <c r="D44" i="29"/>
  <c r="H16" i="30"/>
  <c r="H38" i="30" s="1"/>
  <c r="I18" i="30"/>
  <c r="J18" i="30"/>
  <c r="H22" i="30"/>
  <c r="I24" i="30"/>
  <c r="J24" i="30"/>
  <c r="H28" i="30"/>
  <c r="I30" i="30"/>
  <c r="J30" i="30"/>
  <c r="H10" i="31"/>
  <c r="H12" i="31"/>
  <c r="I12" i="31"/>
  <c r="H16" i="31"/>
  <c r="H18" i="31"/>
  <c r="H22" i="31"/>
  <c r="H24" i="31"/>
  <c r="I24" i="31"/>
  <c r="H28" i="31"/>
  <c r="H30" i="31"/>
  <c r="H34" i="31"/>
  <c r="H36" i="31"/>
  <c r="H32" i="32"/>
  <c r="J32" i="32"/>
  <c r="H46" i="32"/>
  <c r="H12" i="33"/>
  <c r="H44" i="33" s="1"/>
  <c r="J15" i="33"/>
  <c r="I15" i="33"/>
  <c r="I38" i="33"/>
  <c r="H38" i="33"/>
  <c r="J38" i="33"/>
  <c r="C45" i="33"/>
  <c r="F42" i="34"/>
  <c r="H15" i="22"/>
  <c r="I9" i="23"/>
  <c r="I29" i="23"/>
  <c r="I35" i="23"/>
  <c r="I12" i="24"/>
  <c r="H15" i="24"/>
  <c r="J18" i="24"/>
  <c r="I27" i="24"/>
  <c r="I29" i="24"/>
  <c r="I37" i="24"/>
  <c r="H39" i="24"/>
  <c r="C44" i="24"/>
  <c r="I17" i="25"/>
  <c r="I19" i="25"/>
  <c r="H28" i="25"/>
  <c r="J31" i="25"/>
  <c r="I9" i="26"/>
  <c r="H11" i="26"/>
  <c r="I25" i="26"/>
  <c r="H28" i="26"/>
  <c r="I30" i="26"/>
  <c r="H11" i="27"/>
  <c r="J16" i="27"/>
  <c r="H20" i="27"/>
  <c r="J25" i="27"/>
  <c r="H29" i="27"/>
  <c r="J35" i="27"/>
  <c r="H11" i="28"/>
  <c r="H13" i="28"/>
  <c r="H17" i="28"/>
  <c r="H19" i="28"/>
  <c r="I19" i="28"/>
  <c r="H23" i="28"/>
  <c r="H25" i="28"/>
  <c r="H31" i="28"/>
  <c r="F40" i="28"/>
  <c r="I10" i="29"/>
  <c r="J12" i="29"/>
  <c r="I16" i="29"/>
  <c r="J18" i="29"/>
  <c r="I22" i="29"/>
  <c r="J24" i="29"/>
  <c r="I28" i="29"/>
  <c r="J30" i="29"/>
  <c r="I34" i="29"/>
  <c r="J36" i="29"/>
  <c r="H41" i="29"/>
  <c r="I41" i="29"/>
  <c r="E44" i="29"/>
  <c r="I10" i="30"/>
  <c r="J10" i="30"/>
  <c r="H18" i="30"/>
  <c r="H24" i="30"/>
  <c r="H30" i="30"/>
  <c r="F39" i="30"/>
  <c r="I10" i="31"/>
  <c r="J12" i="31"/>
  <c r="J18" i="31"/>
  <c r="J24" i="31"/>
  <c r="I28" i="31"/>
  <c r="J30" i="31"/>
  <c r="H18" i="32"/>
  <c r="H20" i="32"/>
  <c r="J20" i="32"/>
  <c r="H35" i="32"/>
  <c r="H15" i="33"/>
  <c r="J18" i="33"/>
  <c r="I18" i="33"/>
  <c r="I41" i="33"/>
  <c r="H41" i="33"/>
  <c r="D45" i="33"/>
  <c r="I9" i="34"/>
  <c r="I23" i="36"/>
  <c r="D35" i="36"/>
  <c r="I31" i="37"/>
  <c r="F46" i="37"/>
  <c r="I34" i="37"/>
  <c r="I11" i="37"/>
  <c r="I41" i="37"/>
  <c r="I39" i="37"/>
  <c r="I37" i="37"/>
  <c r="I25" i="37"/>
  <c r="I16" i="37"/>
  <c r="I14" i="37"/>
  <c r="I23" i="37"/>
  <c r="I21" i="37"/>
  <c r="I44" i="37"/>
  <c r="I30" i="37"/>
  <c r="I28" i="37"/>
  <c r="I19" i="37"/>
  <c r="D46" i="37"/>
  <c r="I39" i="39"/>
  <c r="C44" i="41"/>
  <c r="I11" i="33"/>
  <c r="I14" i="33"/>
  <c r="I17" i="33"/>
  <c r="I20" i="33"/>
  <c r="I23" i="33"/>
  <c r="I26" i="33"/>
  <c r="I43" i="33"/>
  <c r="J11" i="34"/>
  <c r="J14" i="34"/>
  <c r="J17" i="34"/>
  <c r="J20" i="34"/>
  <c r="J23" i="34"/>
  <c r="J26" i="34"/>
  <c r="J29" i="34"/>
  <c r="J32" i="34"/>
  <c r="J35" i="34"/>
  <c r="J38" i="34"/>
  <c r="G41" i="34"/>
  <c r="I23" i="34" s="1"/>
  <c r="I9" i="35"/>
  <c r="I12" i="35"/>
  <c r="I15" i="35"/>
  <c r="I18" i="35"/>
  <c r="I21" i="35"/>
  <c r="I23" i="35"/>
  <c r="J28" i="35"/>
  <c r="I30" i="35"/>
  <c r="I32" i="35"/>
  <c r="I39" i="35"/>
  <c r="J23" i="36"/>
  <c r="I10" i="37"/>
  <c r="I12" i="37"/>
  <c r="J13" i="37"/>
  <c r="I17" i="37"/>
  <c r="J22" i="37"/>
  <c r="I24" i="37"/>
  <c r="I26" i="37"/>
  <c r="I33" i="37"/>
  <c r="I35" i="37"/>
  <c r="J36" i="37"/>
  <c r="I38" i="37"/>
  <c r="I40" i="37"/>
  <c r="I42" i="37"/>
  <c r="I11" i="38"/>
  <c r="I13" i="38"/>
  <c r="J14" i="38"/>
  <c r="I24" i="38"/>
  <c r="I29" i="38"/>
  <c r="I31" i="38"/>
  <c r="J32" i="38"/>
  <c r="I36" i="38"/>
  <c r="I38" i="38"/>
  <c r="J40" i="38"/>
  <c r="J21" i="39"/>
  <c r="I27" i="39"/>
  <c r="J27" i="39"/>
  <c r="J33" i="39"/>
  <c r="J39" i="39"/>
  <c r="E42" i="39"/>
  <c r="J10" i="40"/>
  <c r="J16" i="40"/>
  <c r="J22" i="40"/>
  <c r="J28" i="40"/>
  <c r="H9" i="41"/>
  <c r="I11" i="41"/>
  <c r="J11" i="41"/>
  <c r="I17" i="41"/>
  <c r="J17" i="41"/>
  <c r="H23" i="41"/>
  <c r="H25" i="41"/>
  <c r="I25" i="41"/>
  <c r="H29" i="41"/>
  <c r="H31" i="41"/>
  <c r="I31" i="41"/>
  <c r="I35" i="41"/>
  <c r="J13" i="42"/>
  <c r="J19" i="42"/>
  <c r="J34" i="42"/>
  <c r="D46" i="42"/>
  <c r="I15" i="44"/>
  <c r="H22" i="44"/>
  <c r="H48" i="44" s="1"/>
  <c r="J31" i="44"/>
  <c r="J35" i="44"/>
  <c r="I41" i="44"/>
  <c r="J41" i="44"/>
  <c r="J45" i="44"/>
  <c r="H12" i="45"/>
  <c r="J12" i="45"/>
  <c r="I12" i="45"/>
  <c r="J33" i="45"/>
  <c r="I41" i="47"/>
  <c r="I30" i="47"/>
  <c r="I19" i="47"/>
  <c r="I16" i="47"/>
  <c r="I13" i="47"/>
  <c r="I11" i="47"/>
  <c r="I9" i="47"/>
  <c r="I46" i="47"/>
  <c r="I39" i="47"/>
  <c r="I36" i="47"/>
  <c r="I33" i="47"/>
  <c r="I28" i="47"/>
  <c r="I25" i="47"/>
  <c r="I22" i="47"/>
  <c r="I44" i="47"/>
  <c r="I42" i="47"/>
  <c r="I31" i="47"/>
  <c r="I17" i="47"/>
  <c r="I14" i="47"/>
  <c r="I47" i="47"/>
  <c r="I40" i="47"/>
  <c r="I37" i="47"/>
  <c r="I34" i="47"/>
  <c r="I29" i="47"/>
  <c r="I26" i="47"/>
  <c r="I23" i="47"/>
  <c r="I20" i="47"/>
  <c r="I12" i="47"/>
  <c r="I10" i="47"/>
  <c r="I16" i="48"/>
  <c r="D49" i="48"/>
  <c r="J11" i="33"/>
  <c r="J14" i="33"/>
  <c r="J17" i="33"/>
  <c r="J20" i="33"/>
  <c r="J23" i="33"/>
  <c r="J26" i="33"/>
  <c r="J9" i="35"/>
  <c r="J12" i="35"/>
  <c r="J15" i="35"/>
  <c r="J18" i="35"/>
  <c r="I38" i="35"/>
  <c r="G34" i="36"/>
  <c r="F35" i="36" s="1"/>
  <c r="J20" i="36"/>
  <c r="I9" i="37"/>
  <c r="J10" i="37"/>
  <c r="I32" i="37"/>
  <c r="J33" i="37"/>
  <c r="I10" i="38"/>
  <c r="J11" i="38"/>
  <c r="I21" i="38"/>
  <c r="I26" i="38"/>
  <c r="I28" i="38"/>
  <c r="J29" i="38"/>
  <c r="I39" i="38"/>
  <c r="J39" i="38"/>
  <c r="I43" i="38"/>
  <c r="H9" i="39"/>
  <c r="H41" i="39" s="1"/>
  <c r="I9" i="39"/>
  <c r="H15" i="39"/>
  <c r="H36" i="41"/>
  <c r="I36" i="41"/>
  <c r="H41" i="42"/>
  <c r="J9" i="43"/>
  <c r="J15" i="43"/>
  <c r="J21" i="43"/>
  <c r="J27" i="43"/>
  <c r="J33" i="43"/>
  <c r="J11" i="44"/>
  <c r="E49" i="44"/>
  <c r="G43" i="45"/>
  <c r="H15" i="45"/>
  <c r="J15" i="45"/>
  <c r="I10" i="46"/>
  <c r="G43" i="46"/>
  <c r="H10" i="46"/>
  <c r="H43" i="46" s="1"/>
  <c r="E49" i="48"/>
  <c r="I14" i="49"/>
  <c r="D41" i="35"/>
  <c r="I18" i="38"/>
  <c r="I23" i="38"/>
  <c r="I25" i="38"/>
  <c r="I37" i="38"/>
  <c r="I41" i="38"/>
  <c r="H38" i="39"/>
  <c r="G41" i="39"/>
  <c r="H35" i="40"/>
  <c r="H39" i="40" s="1"/>
  <c r="I34" i="41"/>
  <c r="J34" i="41"/>
  <c r="I41" i="41"/>
  <c r="J14" i="43"/>
  <c r="J20" i="43"/>
  <c r="J26" i="43"/>
  <c r="J32" i="43"/>
  <c r="G39" i="43"/>
  <c r="H25" i="44"/>
  <c r="J34" i="44"/>
  <c r="I39" i="44"/>
  <c r="I44" i="44"/>
  <c r="J44" i="44"/>
  <c r="H18" i="45"/>
  <c r="J18" i="45"/>
  <c r="I18" i="45"/>
  <c r="F44" i="46"/>
  <c r="I13" i="36"/>
  <c r="I33" i="36"/>
  <c r="I15" i="38"/>
  <c r="I20" i="38"/>
  <c r="I22" i="38"/>
  <c r="I33" i="38"/>
  <c r="E45" i="38"/>
  <c r="I24" i="39"/>
  <c r="J24" i="39"/>
  <c r="J30" i="39"/>
  <c r="J13" i="40"/>
  <c r="I19" i="40"/>
  <c r="J19" i="40"/>
  <c r="J25" i="40"/>
  <c r="I14" i="41"/>
  <c r="J14" i="41"/>
  <c r="I20" i="41"/>
  <c r="H22" i="41"/>
  <c r="I22" i="41"/>
  <c r="H28" i="41"/>
  <c r="I28" i="41"/>
  <c r="I39" i="41"/>
  <c r="E44" i="41"/>
  <c r="J10" i="42"/>
  <c r="J16" i="42"/>
  <c r="J22" i="42"/>
  <c r="G45" i="42"/>
  <c r="I14" i="44"/>
  <c r="J14" i="44"/>
  <c r="G48" i="44"/>
  <c r="H10" i="45"/>
  <c r="I10" i="45"/>
  <c r="H21" i="45"/>
  <c r="J21" i="45"/>
  <c r="I25" i="48"/>
  <c r="H9" i="34"/>
  <c r="H11" i="34"/>
  <c r="H14" i="34"/>
  <c r="H17" i="34"/>
  <c r="H20" i="34"/>
  <c r="H23" i="34"/>
  <c r="H26" i="34"/>
  <c r="H29" i="34"/>
  <c r="H32" i="34"/>
  <c r="H35" i="34"/>
  <c r="H38" i="34"/>
  <c r="I10" i="35"/>
  <c r="I13" i="35"/>
  <c r="I16" i="35"/>
  <c r="I19" i="35"/>
  <c r="I24" i="35"/>
  <c r="I26" i="35"/>
  <c r="H28" i="35"/>
  <c r="I33" i="35"/>
  <c r="I35" i="35"/>
  <c r="I10" i="36"/>
  <c r="H13" i="36"/>
  <c r="J16" i="36"/>
  <c r="H23" i="36"/>
  <c r="I26" i="36"/>
  <c r="I28" i="36"/>
  <c r="H33" i="36"/>
  <c r="H13" i="37"/>
  <c r="H45" i="37" s="1"/>
  <c r="I18" i="37"/>
  <c r="I20" i="37"/>
  <c r="H22" i="37"/>
  <c r="I27" i="37"/>
  <c r="I29" i="37"/>
  <c r="H36" i="37"/>
  <c r="I43" i="37"/>
  <c r="E46" i="37"/>
  <c r="I12" i="38"/>
  <c r="H14" i="38"/>
  <c r="H44" i="38" s="1"/>
  <c r="I17" i="38"/>
  <c r="I19" i="38"/>
  <c r="H22" i="38"/>
  <c r="J25" i="38"/>
  <c r="I30" i="38"/>
  <c r="H32" i="38"/>
  <c r="H40" i="38"/>
  <c r="H42" i="38"/>
  <c r="H10" i="39"/>
  <c r="H12" i="39"/>
  <c r="I12" i="39"/>
  <c r="H16" i="39"/>
  <c r="H18" i="39"/>
  <c r="H24" i="39"/>
  <c r="I28" i="39"/>
  <c r="H30" i="39"/>
  <c r="H39" i="39"/>
  <c r="H13" i="40"/>
  <c r="H19" i="40"/>
  <c r="H25" i="40"/>
  <c r="H38" i="40"/>
  <c r="G39" i="40"/>
  <c r="H14" i="41"/>
  <c r="H20" i="41"/>
  <c r="J22" i="41"/>
  <c r="J28" i="41"/>
  <c r="H39" i="41"/>
  <c r="F44" i="41"/>
  <c r="H10" i="42"/>
  <c r="H16" i="42"/>
  <c r="H22" i="42"/>
  <c r="J29" i="42"/>
  <c r="H42" i="42"/>
  <c r="H14" i="44"/>
  <c r="H19" i="44"/>
  <c r="I19" i="44"/>
  <c r="H28" i="44"/>
  <c r="I28" i="44"/>
  <c r="H24" i="45"/>
  <c r="J24" i="45"/>
  <c r="I24" i="45"/>
  <c r="D44" i="45"/>
  <c r="H12" i="46"/>
  <c r="I42" i="48"/>
  <c r="H9" i="35"/>
  <c r="H40" i="35" s="1"/>
  <c r="J26" i="35"/>
  <c r="H30" i="35"/>
  <c r="H10" i="36"/>
  <c r="H34" i="36" s="1"/>
  <c r="J13" i="36"/>
  <c r="I25" i="36"/>
  <c r="H28" i="36"/>
  <c r="J33" i="36"/>
  <c r="I15" i="37"/>
  <c r="J20" i="37"/>
  <c r="H24" i="37"/>
  <c r="H40" i="37"/>
  <c r="I9" i="38"/>
  <c r="I16" i="38"/>
  <c r="H19" i="38"/>
  <c r="J22" i="38"/>
  <c r="I34" i="38"/>
  <c r="F45" i="38"/>
  <c r="I10" i="39"/>
  <c r="J12" i="39"/>
  <c r="J18" i="39"/>
  <c r="H35" i="39"/>
  <c r="I35" i="39"/>
  <c r="I27" i="42"/>
  <c r="H29" i="42"/>
  <c r="H36" i="42"/>
  <c r="J11" i="43"/>
  <c r="I17" i="43"/>
  <c r="J17" i="43"/>
  <c r="J23" i="43"/>
  <c r="J29" i="43"/>
  <c r="I35" i="43"/>
  <c r="J35" i="43"/>
  <c r="J12" i="44"/>
  <c r="J19" i="44"/>
  <c r="J28" i="44"/>
  <c r="I35" i="44"/>
  <c r="H37" i="44"/>
  <c r="I45" i="44"/>
  <c r="C49" i="44"/>
  <c r="H27" i="45"/>
  <c r="J27" i="45"/>
  <c r="I27" i="45"/>
  <c r="J30" i="45"/>
  <c r="H38" i="45"/>
  <c r="E44" i="45"/>
  <c r="C44" i="46"/>
  <c r="I14" i="46"/>
  <c r="I17" i="46"/>
  <c r="I32" i="46"/>
  <c r="I35" i="46"/>
  <c r="I15" i="47"/>
  <c r="I18" i="47"/>
  <c r="J21" i="47"/>
  <c r="J24" i="47"/>
  <c r="J27" i="47"/>
  <c r="I32" i="47"/>
  <c r="J35" i="47"/>
  <c r="J38" i="47"/>
  <c r="J45" i="47"/>
  <c r="J10" i="48"/>
  <c r="J13" i="48"/>
  <c r="J16" i="48"/>
  <c r="J19" i="48"/>
  <c r="J22" i="48"/>
  <c r="J25" i="48"/>
  <c r="I27" i="48"/>
  <c r="I33" i="48"/>
  <c r="I39" i="48"/>
  <c r="J42" i="48"/>
  <c r="I44" i="48"/>
  <c r="J11" i="49"/>
  <c r="J14" i="49"/>
  <c r="J17" i="49"/>
  <c r="I22" i="49"/>
  <c r="I25" i="49"/>
  <c r="I28" i="49"/>
  <c r="C44" i="50"/>
  <c r="I30" i="51"/>
  <c r="I32" i="51"/>
  <c r="I34" i="51"/>
  <c r="D40" i="51"/>
  <c r="I9" i="52"/>
  <c r="I33" i="52"/>
  <c r="I19" i="52"/>
  <c r="I16" i="52"/>
  <c r="I13" i="52"/>
  <c r="I34" i="52"/>
  <c r="I31" i="52"/>
  <c r="I28" i="52"/>
  <c r="I25" i="52"/>
  <c r="I22" i="52"/>
  <c r="I20" i="52"/>
  <c r="I17" i="52"/>
  <c r="I14" i="52"/>
  <c r="I32" i="52"/>
  <c r="F40" i="52"/>
  <c r="C41" i="53"/>
  <c r="I18" i="55"/>
  <c r="C40" i="58"/>
  <c r="J40" i="45"/>
  <c r="J14" i="46"/>
  <c r="J17" i="46"/>
  <c r="J20" i="46"/>
  <c r="J23" i="46"/>
  <c r="J26" i="46"/>
  <c r="J29" i="46"/>
  <c r="J32" i="46"/>
  <c r="J35" i="46"/>
  <c r="J38" i="46"/>
  <c r="J41" i="46"/>
  <c r="J15" i="47"/>
  <c r="J18" i="47"/>
  <c r="J27" i="48"/>
  <c r="J30" i="48"/>
  <c r="J33" i="48"/>
  <c r="J36" i="48"/>
  <c r="J46" i="48"/>
  <c r="G40" i="49"/>
  <c r="J22" i="49"/>
  <c r="J25" i="49"/>
  <c r="J28" i="49"/>
  <c r="I39" i="49"/>
  <c r="I10" i="50"/>
  <c r="I14" i="50"/>
  <c r="I20" i="50"/>
  <c r="I24" i="50"/>
  <c r="I26" i="50"/>
  <c r="I28" i="50"/>
  <c r="I30" i="50"/>
  <c r="I32" i="50"/>
  <c r="D44" i="50"/>
  <c r="I10" i="53"/>
  <c r="I14" i="53"/>
  <c r="I16" i="53"/>
  <c r="I20" i="53"/>
  <c r="I22" i="53"/>
  <c r="I24" i="53"/>
  <c r="I26" i="53"/>
  <c r="D41" i="53"/>
  <c r="C45" i="55"/>
  <c r="I24" i="57"/>
  <c r="C28" i="57"/>
  <c r="I27" i="58"/>
  <c r="I39" i="59"/>
  <c r="H9" i="45"/>
  <c r="H9" i="49"/>
  <c r="I29" i="49"/>
  <c r="C41" i="49"/>
  <c r="E44" i="50"/>
  <c r="I23" i="51"/>
  <c r="I20" i="51"/>
  <c r="I17" i="51"/>
  <c r="I14" i="51"/>
  <c r="I11" i="51"/>
  <c r="I29" i="51"/>
  <c r="I26" i="51"/>
  <c r="I13" i="51"/>
  <c r="I15" i="51"/>
  <c r="I19" i="51"/>
  <c r="I21" i="51"/>
  <c r="I37" i="51"/>
  <c r="F40" i="51"/>
  <c r="E41" i="53"/>
  <c r="I35" i="54"/>
  <c r="I16" i="55"/>
  <c r="I41" i="55"/>
  <c r="D45" i="55"/>
  <c r="D28" i="57"/>
  <c r="E40" i="58"/>
  <c r="C41" i="59"/>
  <c r="G48" i="48"/>
  <c r="I13" i="48" s="1"/>
  <c r="D41" i="49"/>
  <c r="F44" i="50"/>
  <c r="I37" i="53"/>
  <c r="F41" i="53"/>
  <c r="I36" i="54"/>
  <c r="E45" i="55"/>
  <c r="E28" i="57"/>
  <c r="I24" i="58"/>
  <c r="I33" i="58"/>
  <c r="D41" i="59"/>
  <c r="H21" i="47"/>
  <c r="H48" i="47" s="1"/>
  <c r="H24" i="47"/>
  <c r="H27" i="47"/>
  <c r="H35" i="47"/>
  <c r="H38" i="47"/>
  <c r="H43" i="47"/>
  <c r="H45" i="47"/>
  <c r="H10" i="48"/>
  <c r="H48" i="48" s="1"/>
  <c r="H13" i="48"/>
  <c r="H16" i="48"/>
  <c r="H19" i="48"/>
  <c r="H22" i="48"/>
  <c r="H25" i="48"/>
  <c r="H42" i="48"/>
  <c r="H11" i="49"/>
  <c r="H14" i="49"/>
  <c r="H17" i="49"/>
  <c r="H20" i="49"/>
  <c r="E41" i="49"/>
  <c r="I39" i="50"/>
  <c r="I36" i="50"/>
  <c r="I33" i="50"/>
  <c r="I18" i="50"/>
  <c r="I15" i="50"/>
  <c r="I12" i="50"/>
  <c r="I9" i="50"/>
  <c r="I42" i="50"/>
  <c r="I22" i="50"/>
  <c r="I19" i="50"/>
  <c r="I16" i="50"/>
  <c r="I11" i="50"/>
  <c r="I13" i="50"/>
  <c r="I17" i="50"/>
  <c r="I21" i="50"/>
  <c r="I23" i="50"/>
  <c r="I25" i="50"/>
  <c r="I27" i="50"/>
  <c r="I29" i="50"/>
  <c r="I31" i="50"/>
  <c r="I33" i="53"/>
  <c r="I21" i="53"/>
  <c r="I18" i="53"/>
  <c r="I15" i="53"/>
  <c r="I12" i="53"/>
  <c r="I9" i="53"/>
  <c r="I36" i="53"/>
  <c r="I11" i="53"/>
  <c r="I13" i="53"/>
  <c r="I17" i="53"/>
  <c r="I19" i="53"/>
  <c r="I23" i="53"/>
  <c r="I25" i="53"/>
  <c r="I27" i="53"/>
  <c r="I38" i="53"/>
  <c r="I36" i="55"/>
  <c r="I33" i="55"/>
  <c r="I30" i="55"/>
  <c r="I42" i="55"/>
  <c r="I37" i="55"/>
  <c r="I34" i="55"/>
  <c r="I31" i="55"/>
  <c r="I28" i="55"/>
  <c r="I25" i="55"/>
  <c r="I14" i="55"/>
  <c r="I11" i="55"/>
  <c r="I40" i="55"/>
  <c r="I20" i="55"/>
  <c r="I17" i="55"/>
  <c r="I21" i="55"/>
  <c r="I38" i="55"/>
  <c r="F45" i="55"/>
  <c r="I25" i="57"/>
  <c r="I23" i="57"/>
  <c r="I21" i="57"/>
  <c r="I18" i="57"/>
  <c r="I15" i="57"/>
  <c r="I12" i="57"/>
  <c r="I9" i="57"/>
  <c r="I22" i="57"/>
  <c r="F28" i="57"/>
  <c r="I34" i="58"/>
  <c r="I46" i="62"/>
  <c r="I41" i="62"/>
  <c r="I33" i="62"/>
  <c r="I15" i="62"/>
  <c r="F49" i="62"/>
  <c r="I40" i="62"/>
  <c r="I30" i="62"/>
  <c r="I12" i="62"/>
  <c r="I35" i="62"/>
  <c r="I27" i="62"/>
  <c r="I17" i="62"/>
  <c r="I9" i="62"/>
  <c r="I24" i="62"/>
  <c r="I29" i="62"/>
  <c r="I21" i="62"/>
  <c r="I11" i="62"/>
  <c r="I44" i="62"/>
  <c r="I36" i="62"/>
  <c r="I18" i="62"/>
  <c r="I32" i="49"/>
  <c r="F41" i="49"/>
  <c r="I10" i="51"/>
  <c r="I12" i="51"/>
  <c r="I16" i="51"/>
  <c r="I18" i="51"/>
  <c r="I22" i="51"/>
  <c r="I24" i="51"/>
  <c r="C40" i="51"/>
  <c r="I30" i="53"/>
  <c r="I35" i="53"/>
  <c r="I22" i="55"/>
  <c r="H27" i="57"/>
  <c r="I30" i="58"/>
  <c r="F41" i="59"/>
  <c r="I33" i="49"/>
  <c r="I38" i="49"/>
  <c r="I34" i="50"/>
  <c r="I37" i="50"/>
  <c r="I40" i="50"/>
  <c r="I9" i="51"/>
  <c r="H26" i="51"/>
  <c r="H39" i="51" s="1"/>
  <c r="J27" i="51"/>
  <c r="I11" i="52"/>
  <c r="J23" i="52"/>
  <c r="J26" i="52"/>
  <c r="J29" i="52"/>
  <c r="J32" i="52"/>
  <c r="H34" i="52"/>
  <c r="I37" i="52"/>
  <c r="I28" i="53"/>
  <c r="I31" i="53"/>
  <c r="I34" i="53"/>
  <c r="J37" i="53"/>
  <c r="I39" i="53"/>
  <c r="J9" i="54"/>
  <c r="J12" i="54"/>
  <c r="J15" i="54"/>
  <c r="J18" i="54"/>
  <c r="J21" i="54"/>
  <c r="J24" i="54"/>
  <c r="J35" i="54"/>
  <c r="I37" i="54"/>
  <c r="G40" i="54"/>
  <c r="I9" i="55"/>
  <c r="I12" i="55"/>
  <c r="I15" i="55"/>
  <c r="J18" i="55"/>
  <c r="J21" i="55"/>
  <c r="I23" i="55"/>
  <c r="I26" i="55"/>
  <c r="I29" i="55"/>
  <c r="I32" i="55"/>
  <c r="I35" i="55"/>
  <c r="J38" i="55"/>
  <c r="I43" i="55"/>
  <c r="J11" i="56"/>
  <c r="J14" i="56"/>
  <c r="J17" i="56"/>
  <c r="I10" i="57"/>
  <c r="I13" i="57"/>
  <c r="I16" i="57"/>
  <c r="I19" i="57"/>
  <c r="I26" i="57"/>
  <c r="I9" i="58"/>
  <c r="I12" i="58"/>
  <c r="I18" i="58"/>
  <c r="J21" i="58"/>
  <c r="J24" i="58"/>
  <c r="J27" i="58"/>
  <c r="J30" i="58"/>
  <c r="J33" i="58"/>
  <c r="I35" i="58"/>
  <c r="I14" i="59"/>
  <c r="I17" i="59"/>
  <c r="I22" i="59"/>
  <c r="I28" i="59"/>
  <c r="J31" i="59"/>
  <c r="J38" i="59"/>
  <c r="G44" i="60"/>
  <c r="I10" i="60" s="1"/>
  <c r="H26" i="60"/>
  <c r="H32" i="60"/>
  <c r="I10" i="61"/>
  <c r="J18" i="61"/>
  <c r="J25" i="61"/>
  <c r="I28" i="61"/>
  <c r="J36" i="61"/>
  <c r="I16" i="62"/>
  <c r="J16" i="62"/>
  <c r="J23" i="62"/>
  <c r="I26" i="62"/>
  <c r="I34" i="62"/>
  <c r="J34" i="62"/>
  <c r="D49" i="62"/>
  <c r="J14" i="63"/>
  <c r="H14" i="63"/>
  <c r="I18" i="64"/>
  <c r="I21" i="61"/>
  <c r="J21" i="61"/>
  <c r="E42" i="61"/>
  <c r="I19" i="62"/>
  <c r="J19" i="62"/>
  <c r="I37" i="62"/>
  <c r="J37" i="62"/>
  <c r="H45" i="62"/>
  <c r="I45" i="62"/>
  <c r="E49" i="62"/>
  <c r="C42" i="64"/>
  <c r="I37" i="49"/>
  <c r="H39" i="49"/>
  <c r="H41" i="50"/>
  <c r="H43" i="50" s="1"/>
  <c r="H25" i="51"/>
  <c r="H28" i="51"/>
  <c r="H24" i="52"/>
  <c r="H27" i="52"/>
  <c r="H39" i="52" s="1"/>
  <c r="H30" i="52"/>
  <c r="H33" i="52"/>
  <c r="H38" i="52"/>
  <c r="H38" i="53"/>
  <c r="H10" i="54"/>
  <c r="H13" i="54"/>
  <c r="H16" i="54"/>
  <c r="H19" i="54"/>
  <c r="H22" i="54"/>
  <c r="H25" i="54"/>
  <c r="H36" i="54"/>
  <c r="H19" i="55"/>
  <c r="H22" i="55"/>
  <c r="H39" i="55"/>
  <c r="H12" i="56"/>
  <c r="H15" i="56"/>
  <c r="H18" i="56"/>
  <c r="G43" i="56"/>
  <c r="I25" i="56" s="1"/>
  <c r="H22" i="58"/>
  <c r="H25" i="58"/>
  <c r="H28" i="58"/>
  <c r="H31" i="58"/>
  <c r="H34" i="58"/>
  <c r="H32" i="59"/>
  <c r="H39" i="59"/>
  <c r="G40" i="59"/>
  <c r="E41" i="59" s="1"/>
  <c r="I16" i="61"/>
  <c r="H21" i="61"/>
  <c r="J24" i="61"/>
  <c r="H39" i="61"/>
  <c r="F42" i="61"/>
  <c r="I14" i="62"/>
  <c r="H19" i="62"/>
  <c r="I22" i="62"/>
  <c r="J22" i="62"/>
  <c r="I32" i="62"/>
  <c r="H37" i="62"/>
  <c r="D42" i="64"/>
  <c r="I41" i="50"/>
  <c r="I25" i="51"/>
  <c r="I28" i="51"/>
  <c r="I24" i="52"/>
  <c r="I27" i="52"/>
  <c r="I30" i="52"/>
  <c r="I22" i="54"/>
  <c r="I25" i="54"/>
  <c r="I19" i="55"/>
  <c r="I39" i="55"/>
  <c r="I22" i="58"/>
  <c r="I25" i="58"/>
  <c r="I31" i="58"/>
  <c r="H29" i="60"/>
  <c r="H35" i="60"/>
  <c r="J9" i="61"/>
  <c r="I27" i="61"/>
  <c r="J27" i="61"/>
  <c r="G41" i="61"/>
  <c r="I18" i="61" s="1"/>
  <c r="I25" i="62"/>
  <c r="J25" i="62"/>
  <c r="H43" i="62"/>
  <c r="I43" i="62"/>
  <c r="I47" i="62"/>
  <c r="J32" i="63"/>
  <c r="H32" i="63"/>
  <c r="I31" i="49"/>
  <c r="I35" i="50"/>
  <c r="I38" i="50"/>
  <c r="H27" i="51"/>
  <c r="I36" i="51"/>
  <c r="H38" i="51"/>
  <c r="I12" i="52"/>
  <c r="I15" i="52"/>
  <c r="I18" i="52"/>
  <c r="H23" i="52"/>
  <c r="H26" i="52"/>
  <c r="H29" i="52"/>
  <c r="H32" i="52"/>
  <c r="H35" i="52"/>
  <c r="I29" i="53"/>
  <c r="I32" i="53"/>
  <c r="H37" i="53"/>
  <c r="H40" i="53" s="1"/>
  <c r="H9" i="54"/>
  <c r="H12" i="54"/>
  <c r="H15" i="54"/>
  <c r="H18" i="54"/>
  <c r="H21" i="54"/>
  <c r="H24" i="54"/>
  <c r="H27" i="54"/>
  <c r="I33" i="54"/>
  <c r="H35" i="54"/>
  <c r="I10" i="55"/>
  <c r="I13" i="55"/>
  <c r="H18" i="55"/>
  <c r="H21" i="55"/>
  <c r="I24" i="55"/>
  <c r="I27" i="55"/>
  <c r="H38" i="55"/>
  <c r="H41" i="55"/>
  <c r="H9" i="56"/>
  <c r="H11" i="56"/>
  <c r="H14" i="56"/>
  <c r="H17" i="56"/>
  <c r="I32" i="56"/>
  <c r="I11" i="57"/>
  <c r="I14" i="57"/>
  <c r="I17" i="57"/>
  <c r="I20" i="57"/>
  <c r="H22" i="57"/>
  <c r="H24" i="57"/>
  <c r="I13" i="58"/>
  <c r="I16" i="58"/>
  <c r="I19" i="58"/>
  <c r="H21" i="58"/>
  <c r="H39" i="58" s="1"/>
  <c r="H24" i="58"/>
  <c r="H27" i="58"/>
  <c r="H30" i="58"/>
  <c r="H33" i="58"/>
  <c r="H38" i="58"/>
  <c r="G39" i="58"/>
  <c r="I38" i="58" s="1"/>
  <c r="H31" i="59"/>
  <c r="H40" i="59" s="1"/>
  <c r="H38" i="59"/>
  <c r="J29" i="60"/>
  <c r="J35" i="60"/>
  <c r="H9" i="61"/>
  <c r="I12" i="61"/>
  <c r="J12" i="61"/>
  <c r="I22" i="61"/>
  <c r="H27" i="61"/>
  <c r="I30" i="61"/>
  <c r="J30" i="61"/>
  <c r="I10" i="62"/>
  <c r="J10" i="62"/>
  <c r="I20" i="62"/>
  <c r="H25" i="62"/>
  <c r="I28" i="62"/>
  <c r="J28" i="62"/>
  <c r="I38" i="62"/>
  <c r="J43" i="62"/>
  <c r="H47" i="62"/>
  <c r="I26" i="63"/>
  <c r="J26" i="63"/>
  <c r="H26" i="63"/>
  <c r="F42" i="64"/>
  <c r="H9" i="55"/>
  <c r="H20" i="60"/>
  <c r="H44" i="60" s="1"/>
  <c r="I22" i="60"/>
  <c r="I38" i="60"/>
  <c r="J38" i="60"/>
  <c r="H43" i="60"/>
  <c r="H12" i="61"/>
  <c r="I15" i="61"/>
  <c r="J15" i="61"/>
  <c r="J22" i="61"/>
  <c r="I25" i="61"/>
  <c r="H30" i="61"/>
  <c r="I33" i="61"/>
  <c r="J33" i="61"/>
  <c r="H10" i="62"/>
  <c r="I13" i="62"/>
  <c r="J13" i="62"/>
  <c r="J20" i="62"/>
  <c r="I23" i="62"/>
  <c r="H28" i="62"/>
  <c r="I31" i="62"/>
  <c r="J31" i="62"/>
  <c r="J38" i="62"/>
  <c r="J20" i="63"/>
  <c r="H20" i="63"/>
  <c r="I41" i="63"/>
  <c r="H40" i="60"/>
  <c r="H11" i="61"/>
  <c r="H14" i="61"/>
  <c r="H17" i="61"/>
  <c r="H20" i="61"/>
  <c r="H23" i="61"/>
  <c r="H26" i="61"/>
  <c r="H29" i="61"/>
  <c r="H32" i="61"/>
  <c r="H35" i="61"/>
  <c r="H38" i="61"/>
  <c r="H9" i="62"/>
  <c r="H12" i="62"/>
  <c r="H15" i="62"/>
  <c r="H18" i="62"/>
  <c r="H21" i="62"/>
  <c r="H24" i="62"/>
  <c r="H27" i="62"/>
  <c r="H30" i="62"/>
  <c r="H33" i="62"/>
  <c r="H36" i="62"/>
  <c r="C49" i="62"/>
  <c r="H9" i="63"/>
  <c r="I11" i="63"/>
  <c r="J11" i="63"/>
  <c r="H15" i="63"/>
  <c r="J17" i="63"/>
  <c r="H21" i="63"/>
  <c r="I23" i="63"/>
  <c r="J23" i="63"/>
  <c r="H27" i="63"/>
  <c r="J29" i="63"/>
  <c r="H33" i="63"/>
  <c r="I35" i="63"/>
  <c r="J35" i="63"/>
  <c r="J41" i="63"/>
  <c r="J18" i="64"/>
  <c r="I25" i="64"/>
  <c r="J25" i="64"/>
  <c r="H29" i="64"/>
  <c r="I31" i="64"/>
  <c r="J31" i="64"/>
  <c r="G44" i="65"/>
  <c r="H20" i="65"/>
  <c r="H44" i="65" s="1"/>
  <c r="J20" i="65"/>
  <c r="J32" i="65"/>
  <c r="H32" i="65"/>
  <c r="I36" i="65"/>
  <c r="I42" i="69"/>
  <c r="J15" i="65"/>
  <c r="I15" i="65"/>
  <c r="H15" i="65"/>
  <c r="I37" i="65"/>
  <c r="I13" i="66"/>
  <c r="F40" i="66"/>
  <c r="F44" i="67"/>
  <c r="E44" i="67"/>
  <c r="I29" i="67"/>
  <c r="I20" i="67"/>
  <c r="I11" i="67"/>
  <c r="I42" i="67"/>
  <c r="I40" i="67"/>
  <c r="I34" i="67"/>
  <c r="I27" i="67"/>
  <c r="I25" i="67"/>
  <c r="I18" i="67"/>
  <c r="I16" i="67"/>
  <c r="I14" i="67"/>
  <c r="I9" i="67"/>
  <c r="I12" i="67"/>
  <c r="C44" i="67"/>
  <c r="F46" i="69"/>
  <c r="I18" i="69"/>
  <c r="I21" i="69"/>
  <c r="I40" i="69"/>
  <c r="I24" i="69"/>
  <c r="I44" i="69"/>
  <c r="I32" i="69"/>
  <c r="I27" i="69"/>
  <c r="I14" i="69"/>
  <c r="I9" i="69"/>
  <c r="I30" i="69"/>
  <c r="I17" i="69"/>
  <c r="I12" i="69"/>
  <c r="I33" i="69"/>
  <c r="I15" i="69"/>
  <c r="I39" i="69"/>
  <c r="I42" i="62"/>
  <c r="J42" i="62"/>
  <c r="H38" i="63"/>
  <c r="H40" i="63"/>
  <c r="F49" i="63"/>
  <c r="H11" i="64"/>
  <c r="I11" i="64"/>
  <c r="H15" i="64"/>
  <c r="H17" i="64"/>
  <c r="I17" i="64"/>
  <c r="J13" i="65"/>
  <c r="H18" i="65"/>
  <c r="J24" i="65"/>
  <c r="I24" i="65"/>
  <c r="I35" i="67"/>
  <c r="I28" i="64"/>
  <c r="J28" i="64"/>
  <c r="H34" i="65"/>
  <c r="I34" i="65"/>
  <c r="I38" i="66"/>
  <c r="I38" i="68"/>
  <c r="H41" i="63"/>
  <c r="J43" i="63"/>
  <c r="G41" i="64"/>
  <c r="H9" i="64"/>
  <c r="I9" i="64"/>
  <c r="H18" i="64"/>
  <c r="I20" i="64"/>
  <c r="H22" i="64"/>
  <c r="I22" i="64"/>
  <c r="H28" i="64"/>
  <c r="E42" i="64"/>
  <c r="I22" i="65"/>
  <c r="J29" i="65"/>
  <c r="H29" i="65"/>
  <c r="D45" i="65"/>
  <c r="I9" i="66"/>
  <c r="J9" i="66"/>
  <c r="G39" i="66"/>
  <c r="I22" i="66" s="1"/>
  <c r="H9" i="66"/>
  <c r="I39" i="62"/>
  <c r="G48" i="63"/>
  <c r="I20" i="63" s="1"/>
  <c r="H37" i="63"/>
  <c r="H43" i="63"/>
  <c r="H12" i="64"/>
  <c r="H14" i="64"/>
  <c r="I14" i="64"/>
  <c r="H20" i="64"/>
  <c r="J22" i="64"/>
  <c r="J33" i="64"/>
  <c r="H33" i="64"/>
  <c r="I33" i="64"/>
  <c r="H22" i="65"/>
  <c r="I27" i="65"/>
  <c r="J16" i="66"/>
  <c r="I16" i="66"/>
  <c r="H16" i="66"/>
  <c r="I35" i="66"/>
  <c r="D40" i="66"/>
  <c r="I37" i="67"/>
  <c r="D46" i="69"/>
  <c r="I35" i="64"/>
  <c r="H12" i="65"/>
  <c r="J17" i="65"/>
  <c r="I19" i="65"/>
  <c r="H21" i="65"/>
  <c r="I35" i="65"/>
  <c r="I12" i="66"/>
  <c r="J13" i="66"/>
  <c r="I15" i="66"/>
  <c r="I17" i="66"/>
  <c r="J22" i="66"/>
  <c r="I26" i="66"/>
  <c r="I33" i="66"/>
  <c r="J35" i="66"/>
  <c r="I37" i="66"/>
  <c r="E40" i="66"/>
  <c r="H16" i="67"/>
  <c r="J21" i="67"/>
  <c r="I23" i="67"/>
  <c r="H25" i="67"/>
  <c r="J30" i="67"/>
  <c r="I32" i="67"/>
  <c r="H34" i="67"/>
  <c r="I38" i="67"/>
  <c r="J13" i="68"/>
  <c r="I15" i="68"/>
  <c r="H17" i="68"/>
  <c r="J22" i="68"/>
  <c r="I28" i="68"/>
  <c r="J33" i="68"/>
  <c r="H37" i="68"/>
  <c r="J10" i="69"/>
  <c r="I20" i="69"/>
  <c r="I22" i="69"/>
  <c r="J23" i="69"/>
  <c r="I35" i="69"/>
  <c r="I37" i="69"/>
  <c r="J39" i="69"/>
  <c r="J17" i="70"/>
  <c r="J24" i="70"/>
  <c r="H28" i="70"/>
  <c r="I9" i="71"/>
  <c r="H11" i="71"/>
  <c r="H15" i="71"/>
  <c r="J19" i="71"/>
  <c r="F37" i="71"/>
  <c r="H47" i="72"/>
  <c r="I47" i="72"/>
  <c r="F50" i="72"/>
  <c r="F20" i="74"/>
  <c r="I19" i="69"/>
  <c r="I36" i="69"/>
  <c r="J9" i="71"/>
  <c r="I11" i="71"/>
  <c r="I13" i="71"/>
  <c r="I15" i="71"/>
  <c r="H20" i="71"/>
  <c r="J20" i="71"/>
  <c r="H23" i="71"/>
  <c r="J23" i="71"/>
  <c r="I26" i="71"/>
  <c r="H26" i="71"/>
  <c r="I33" i="71"/>
  <c r="C37" i="71"/>
  <c r="J16" i="72"/>
  <c r="H16" i="72"/>
  <c r="I28" i="72"/>
  <c r="I23" i="66"/>
  <c r="H25" i="66"/>
  <c r="H27" i="66"/>
  <c r="I34" i="66"/>
  <c r="H38" i="66"/>
  <c r="I13" i="67"/>
  <c r="H22" i="67"/>
  <c r="H31" i="67"/>
  <c r="H14" i="68"/>
  <c r="H23" i="68"/>
  <c r="H25" i="68"/>
  <c r="H34" i="68"/>
  <c r="H11" i="69"/>
  <c r="I16" i="69"/>
  <c r="H19" i="69"/>
  <c r="H29" i="69"/>
  <c r="I34" i="69"/>
  <c r="H36" i="69"/>
  <c r="I38" i="69"/>
  <c r="H42" i="69"/>
  <c r="H13" i="70"/>
  <c r="G33" i="70"/>
  <c r="H18" i="71"/>
  <c r="I20" i="71"/>
  <c r="I23" i="71"/>
  <c r="J26" i="71"/>
  <c r="E37" i="71"/>
  <c r="J10" i="72"/>
  <c r="H10" i="72"/>
  <c r="H49" i="72" s="1"/>
  <c r="H18" i="66"/>
  <c r="J23" i="66"/>
  <c r="I25" i="66"/>
  <c r="I32" i="66"/>
  <c r="I10" i="67"/>
  <c r="H13" i="67"/>
  <c r="I15" i="67"/>
  <c r="H17" i="67"/>
  <c r="I22" i="67"/>
  <c r="I24" i="67"/>
  <c r="H26" i="67"/>
  <c r="I31" i="67"/>
  <c r="I33" i="67"/>
  <c r="H35" i="67"/>
  <c r="H37" i="67"/>
  <c r="H39" i="67"/>
  <c r="D44" i="67"/>
  <c r="H9" i="68"/>
  <c r="I14" i="68"/>
  <c r="H18" i="68"/>
  <c r="I23" i="68"/>
  <c r="J25" i="68"/>
  <c r="I36" i="68"/>
  <c r="H38" i="68"/>
  <c r="G39" i="68"/>
  <c r="I11" i="69"/>
  <c r="I13" i="69"/>
  <c r="H16" i="69"/>
  <c r="J19" i="69"/>
  <c r="H26" i="69"/>
  <c r="I29" i="69"/>
  <c r="I31" i="69"/>
  <c r="H34" i="69"/>
  <c r="H45" i="69" s="1"/>
  <c r="J36" i="69"/>
  <c r="H10" i="70"/>
  <c r="J13" i="70"/>
  <c r="H20" i="70"/>
  <c r="I25" i="70"/>
  <c r="I27" i="70"/>
  <c r="H29" i="70"/>
  <c r="I10" i="71"/>
  <c r="H14" i="71"/>
  <c r="J14" i="71"/>
  <c r="I16" i="71"/>
  <c r="I18" i="71"/>
  <c r="J21" i="71"/>
  <c r="H21" i="71"/>
  <c r="J24" i="71"/>
  <c r="H24" i="71"/>
  <c r="C50" i="72"/>
  <c r="C20" i="74"/>
  <c r="I26" i="65"/>
  <c r="H37" i="65"/>
  <c r="H39" i="65"/>
  <c r="H41" i="65"/>
  <c r="H13" i="66"/>
  <c r="I18" i="66"/>
  <c r="I20" i="66"/>
  <c r="H22" i="66"/>
  <c r="I30" i="66"/>
  <c r="H35" i="66"/>
  <c r="H10" i="67"/>
  <c r="H43" i="67" s="1"/>
  <c r="J13" i="67"/>
  <c r="J15" i="67"/>
  <c r="I17" i="67"/>
  <c r="H19" i="67"/>
  <c r="J24" i="67"/>
  <c r="I26" i="67"/>
  <c r="H28" i="67"/>
  <c r="J33" i="67"/>
  <c r="I39" i="67"/>
  <c r="I41" i="67"/>
  <c r="I9" i="68"/>
  <c r="H11" i="68"/>
  <c r="J16" i="68"/>
  <c r="I18" i="68"/>
  <c r="H20" i="68"/>
  <c r="H29" i="68"/>
  <c r="H31" i="68"/>
  <c r="J36" i="68"/>
  <c r="I10" i="69"/>
  <c r="H13" i="69"/>
  <c r="J16" i="69"/>
  <c r="H23" i="69"/>
  <c r="I26" i="69"/>
  <c r="I28" i="69"/>
  <c r="H31" i="69"/>
  <c r="H39" i="69"/>
  <c r="I43" i="69"/>
  <c r="J10" i="70"/>
  <c r="H17" i="70"/>
  <c r="I20" i="70"/>
  <c r="J27" i="70"/>
  <c r="H31" i="70"/>
  <c r="I34" i="71"/>
  <c r="I27" i="71"/>
  <c r="I28" i="71"/>
  <c r="I12" i="71"/>
  <c r="I14" i="71"/>
  <c r="I21" i="71"/>
  <c r="I24" i="71"/>
  <c r="D37" i="71"/>
  <c r="H14" i="72"/>
  <c r="J14" i="72"/>
  <c r="C46" i="73"/>
  <c r="I17" i="65"/>
  <c r="I23" i="65"/>
  <c r="H26" i="65"/>
  <c r="I41" i="65"/>
  <c r="I43" i="65"/>
  <c r="H15" i="66"/>
  <c r="J20" i="66"/>
  <c r="H24" i="66"/>
  <c r="I28" i="66"/>
  <c r="H37" i="66"/>
  <c r="J10" i="67"/>
  <c r="I19" i="67"/>
  <c r="I21" i="67"/>
  <c r="I28" i="67"/>
  <c r="I30" i="67"/>
  <c r="I36" i="67"/>
  <c r="I13" i="68"/>
  <c r="I22" i="68"/>
  <c r="I31" i="68"/>
  <c r="I33" i="68"/>
  <c r="H10" i="69"/>
  <c r="J13" i="69"/>
  <c r="I25" i="69"/>
  <c r="H28" i="69"/>
  <c r="J31" i="69"/>
  <c r="I41" i="69"/>
  <c r="H43" i="69"/>
  <c r="E46" i="69"/>
  <c r="H22" i="70"/>
  <c r="I24" i="70"/>
  <c r="I31" i="70"/>
  <c r="H9" i="71"/>
  <c r="H17" i="71"/>
  <c r="J17" i="71"/>
  <c r="I19" i="71"/>
  <c r="J22" i="71"/>
  <c r="H22" i="71"/>
  <c r="J25" i="71"/>
  <c r="H25" i="71"/>
  <c r="J30" i="71"/>
  <c r="H30" i="71"/>
  <c r="I32" i="71"/>
  <c r="H32" i="71"/>
  <c r="E50" i="72"/>
  <c r="E20" i="74"/>
  <c r="I19" i="75"/>
  <c r="I35" i="71"/>
  <c r="J13" i="72"/>
  <c r="I15" i="72"/>
  <c r="H19" i="72"/>
  <c r="I21" i="72"/>
  <c r="J21" i="72"/>
  <c r="H25" i="72"/>
  <c r="I27" i="72"/>
  <c r="J27" i="72"/>
  <c r="H31" i="72"/>
  <c r="I33" i="72"/>
  <c r="J33" i="72"/>
  <c r="H42" i="72"/>
  <c r="I42" i="72"/>
  <c r="I11" i="73"/>
  <c r="I17" i="73"/>
  <c r="J23" i="73"/>
  <c r="J11" i="74"/>
  <c r="H15" i="75"/>
  <c r="H17" i="75"/>
  <c r="E39" i="75"/>
  <c r="I17" i="76"/>
  <c r="J19" i="76"/>
  <c r="J26" i="77"/>
  <c r="J10" i="78"/>
  <c r="I10" i="78"/>
  <c r="H10" i="78"/>
  <c r="J13" i="78"/>
  <c r="I13" i="78"/>
  <c r="H13" i="78"/>
  <c r="J16" i="78"/>
  <c r="I16" i="78"/>
  <c r="H16" i="78"/>
  <c r="J19" i="78"/>
  <c r="I19" i="78"/>
  <c r="H19" i="78"/>
  <c r="J22" i="78"/>
  <c r="I22" i="78"/>
  <c r="H22" i="78"/>
  <c r="J25" i="78"/>
  <c r="I25" i="78"/>
  <c r="H25" i="78"/>
  <c r="J28" i="78"/>
  <c r="I28" i="78"/>
  <c r="H28" i="78"/>
  <c r="J31" i="78"/>
  <c r="I31" i="78"/>
  <c r="H31" i="78"/>
  <c r="J34" i="78"/>
  <c r="I34" i="78"/>
  <c r="H34" i="78"/>
  <c r="I22" i="73"/>
  <c r="J22" i="73"/>
  <c r="H30" i="73"/>
  <c r="H36" i="73"/>
  <c r="I41" i="73"/>
  <c r="E46" i="73"/>
  <c r="I10" i="74"/>
  <c r="J10" i="74"/>
  <c r="H18" i="74"/>
  <c r="H11" i="75"/>
  <c r="I11" i="75"/>
  <c r="H26" i="75"/>
  <c r="J26" i="75"/>
  <c r="H28" i="75"/>
  <c r="J28" i="75"/>
  <c r="I28" i="76"/>
  <c r="J28" i="76"/>
  <c r="H40" i="76"/>
  <c r="J40" i="76"/>
  <c r="E45" i="76"/>
  <c r="J29" i="77"/>
  <c r="I33" i="77"/>
  <c r="H33" i="77"/>
  <c r="I29" i="71"/>
  <c r="H40" i="72"/>
  <c r="I40" i="72"/>
  <c r="H10" i="73"/>
  <c r="I10" i="73"/>
  <c r="H14" i="73"/>
  <c r="H16" i="73"/>
  <c r="I16" i="73"/>
  <c r="H20" i="73"/>
  <c r="H22" i="73"/>
  <c r="J30" i="73"/>
  <c r="H39" i="73"/>
  <c r="H41" i="73"/>
  <c r="F46" i="73"/>
  <c r="H10" i="74"/>
  <c r="H9" i="75"/>
  <c r="J11" i="75"/>
  <c r="H22" i="75"/>
  <c r="H31" i="75"/>
  <c r="I34" i="75"/>
  <c r="H36" i="75"/>
  <c r="G38" i="75"/>
  <c r="I26" i="75" s="1"/>
  <c r="H13" i="76"/>
  <c r="I22" i="76"/>
  <c r="H28" i="76"/>
  <c r="I40" i="76"/>
  <c r="H20" i="77"/>
  <c r="H29" i="77"/>
  <c r="J24" i="72"/>
  <c r="I30" i="72"/>
  <c r="J30" i="72"/>
  <c r="H45" i="72"/>
  <c r="G49" i="72"/>
  <c r="I16" i="72" s="1"/>
  <c r="I14" i="73"/>
  <c r="I20" i="73"/>
  <c r="G45" i="73"/>
  <c r="D46" i="73" s="1"/>
  <c r="I14" i="75"/>
  <c r="J14" i="75"/>
  <c r="J22" i="75"/>
  <c r="J31" i="75"/>
  <c r="J34" i="75"/>
  <c r="H37" i="75"/>
  <c r="J13" i="76"/>
  <c r="H36" i="76"/>
  <c r="J36" i="76"/>
  <c r="G38" i="77"/>
  <c r="J20" i="77"/>
  <c r="E43" i="78"/>
  <c r="J29" i="71"/>
  <c r="I9" i="72"/>
  <c r="I11" i="72"/>
  <c r="I18" i="72"/>
  <c r="H24" i="72"/>
  <c r="H30" i="72"/>
  <c r="I25" i="73"/>
  <c r="J25" i="73"/>
  <c r="H31" i="73"/>
  <c r="H33" i="73"/>
  <c r="I33" i="73"/>
  <c r="G19" i="74"/>
  <c r="I13" i="74"/>
  <c r="J13" i="74"/>
  <c r="H14" i="75"/>
  <c r="H23" i="75"/>
  <c r="I23" i="75"/>
  <c r="H32" i="75"/>
  <c r="H14" i="76"/>
  <c r="H44" i="76" s="1"/>
  <c r="I14" i="76"/>
  <c r="J14" i="76"/>
  <c r="I36" i="76"/>
  <c r="I9" i="78"/>
  <c r="I12" i="78"/>
  <c r="I18" i="78"/>
  <c r="I24" i="78"/>
  <c r="I27" i="78"/>
  <c r="I30" i="78"/>
  <c r="I36" i="78"/>
  <c r="H13" i="73"/>
  <c r="I13" i="73"/>
  <c r="H19" i="73"/>
  <c r="H45" i="73" s="1"/>
  <c r="I19" i="73"/>
  <c r="H38" i="73"/>
  <c r="I38" i="73"/>
  <c r="H19" i="75"/>
  <c r="J19" i="75"/>
  <c r="D39" i="75"/>
  <c r="J10" i="76"/>
  <c r="G44" i="76"/>
  <c r="H23" i="76"/>
  <c r="I23" i="76"/>
  <c r="J23" i="76"/>
  <c r="H32" i="76"/>
  <c r="J32" i="76"/>
  <c r="C45" i="76"/>
  <c r="H17" i="77"/>
  <c r="J17" i="77"/>
  <c r="I41" i="78"/>
  <c r="H9" i="74"/>
  <c r="I25" i="75"/>
  <c r="I31" i="76"/>
  <c r="I39" i="76"/>
  <c r="J23" i="77"/>
  <c r="I31" i="77"/>
  <c r="H31" i="77"/>
  <c r="J35" i="77"/>
  <c r="H35" i="77"/>
  <c r="C43" i="78"/>
  <c r="J35" i="79"/>
  <c r="H35" i="79"/>
  <c r="I26" i="80"/>
  <c r="C41" i="80"/>
  <c r="J27" i="79"/>
  <c r="I27" i="79"/>
  <c r="J33" i="79"/>
  <c r="E43" i="79"/>
  <c r="I15" i="80"/>
  <c r="I23" i="80"/>
  <c r="I34" i="80"/>
  <c r="I37" i="80"/>
  <c r="D41" i="80"/>
  <c r="G42" i="79"/>
  <c r="J9" i="79"/>
  <c r="I9" i="79"/>
  <c r="H9" i="79"/>
  <c r="J12" i="79"/>
  <c r="H12" i="79"/>
  <c r="J15" i="79"/>
  <c r="I15" i="79"/>
  <c r="H15" i="79"/>
  <c r="J18" i="79"/>
  <c r="H18" i="79"/>
  <c r="J21" i="79"/>
  <c r="I21" i="79"/>
  <c r="H21" i="79"/>
  <c r="J24" i="79"/>
  <c r="H24" i="79"/>
  <c r="H27" i="79"/>
  <c r="H33" i="79"/>
  <c r="F43" i="79"/>
  <c r="I18" i="80"/>
  <c r="E41" i="80"/>
  <c r="I39" i="80"/>
  <c r="I20" i="80"/>
  <c r="I17" i="80"/>
  <c r="I14" i="80"/>
  <c r="I12" i="80"/>
  <c r="I9" i="80"/>
  <c r="I38" i="80"/>
  <c r="I33" i="80"/>
  <c r="I30" i="80"/>
  <c r="I27" i="80"/>
  <c r="I24" i="80"/>
  <c r="I10" i="80"/>
  <c r="I13" i="80"/>
  <c r="I21" i="80"/>
  <c r="I35" i="80"/>
  <c r="F41" i="80"/>
  <c r="J30" i="79"/>
  <c r="I30" i="79"/>
  <c r="I32" i="79"/>
  <c r="I16" i="80"/>
  <c r="I32" i="80"/>
  <c r="I16" i="76"/>
  <c r="I25" i="76"/>
  <c r="F45" i="76"/>
  <c r="J37" i="78"/>
  <c r="I37" i="78"/>
  <c r="I39" i="78"/>
  <c r="H30" i="79"/>
  <c r="I19" i="80"/>
  <c r="I29" i="80"/>
  <c r="J13" i="80"/>
  <c r="J16" i="80"/>
  <c r="J19" i="80"/>
  <c r="G42" i="78"/>
  <c r="H9" i="80"/>
  <c r="J10" i="80"/>
  <c r="H23" i="80"/>
  <c r="J24" i="80"/>
  <c r="H26" i="80"/>
  <c r="J27" i="80"/>
  <c r="H29" i="80"/>
  <c r="J30" i="80"/>
  <c r="H32" i="80"/>
  <c r="J33" i="80"/>
  <c r="H37" i="80"/>
  <c r="H37" i="77"/>
  <c r="H9" i="78"/>
  <c r="H12" i="78"/>
  <c r="H15" i="78"/>
  <c r="H18" i="78"/>
  <c r="H21" i="78"/>
  <c r="H24" i="78"/>
  <c r="H27" i="78"/>
  <c r="H30" i="78"/>
  <c r="H33" i="78"/>
  <c r="I11" i="80"/>
  <c r="H13" i="80"/>
  <c r="H16" i="80"/>
  <c r="H19" i="80"/>
  <c r="I22" i="80"/>
  <c r="I25" i="80"/>
  <c r="I28" i="80"/>
  <c r="I31" i="80"/>
  <c r="I36" i="80"/>
  <c r="I22" i="77" l="1"/>
  <c r="I19" i="77"/>
  <c r="I16" i="77"/>
  <c r="I13" i="77"/>
  <c r="I10" i="77"/>
  <c r="C39" i="77"/>
  <c r="I34" i="77"/>
  <c r="I30" i="77"/>
  <c r="I15" i="77"/>
  <c r="I9" i="77"/>
  <c r="I27" i="77"/>
  <c r="I12" i="77"/>
  <c r="I24" i="77"/>
  <c r="I18" i="77"/>
  <c r="I36" i="77"/>
  <c r="I32" i="77"/>
  <c r="I21" i="77"/>
  <c r="F39" i="77"/>
  <c r="H48" i="62"/>
  <c r="I35" i="56"/>
  <c r="I29" i="60"/>
  <c r="I32" i="60"/>
  <c r="I34" i="54"/>
  <c r="I31" i="54"/>
  <c r="I28" i="54"/>
  <c r="I39" i="54"/>
  <c r="I26" i="54"/>
  <c r="I23" i="54"/>
  <c r="I20" i="54"/>
  <c r="I17" i="54"/>
  <c r="I14" i="54"/>
  <c r="I11" i="54"/>
  <c r="I9" i="54"/>
  <c r="C41" i="54"/>
  <c r="I38" i="54"/>
  <c r="I31" i="40"/>
  <c r="I29" i="40"/>
  <c r="I27" i="40"/>
  <c r="I23" i="40"/>
  <c r="I21" i="40"/>
  <c r="I17" i="40"/>
  <c r="I15" i="40"/>
  <c r="I11" i="40"/>
  <c r="I9" i="40"/>
  <c r="I33" i="40"/>
  <c r="I37" i="40"/>
  <c r="I30" i="40"/>
  <c r="I26" i="40"/>
  <c r="I24" i="40"/>
  <c r="I20" i="40"/>
  <c r="I18" i="40"/>
  <c r="I14" i="40"/>
  <c r="I12" i="40"/>
  <c r="I34" i="40"/>
  <c r="I32" i="40"/>
  <c r="I40" i="42"/>
  <c r="I38" i="42"/>
  <c r="I33" i="42"/>
  <c r="I31" i="42"/>
  <c r="I44" i="42"/>
  <c r="I35" i="42"/>
  <c r="I26" i="42"/>
  <c r="I24" i="42"/>
  <c r="I20" i="42"/>
  <c r="I18" i="42"/>
  <c r="I14" i="42"/>
  <c r="I12" i="42"/>
  <c r="I37" i="42"/>
  <c r="I28" i="42"/>
  <c r="I39" i="42"/>
  <c r="I32" i="42"/>
  <c r="I30" i="42"/>
  <c r="I43" i="42"/>
  <c r="I23" i="42"/>
  <c r="I21" i="42"/>
  <c r="I17" i="42"/>
  <c r="I15" i="42"/>
  <c r="I11" i="42"/>
  <c r="I9" i="42"/>
  <c r="I10" i="42"/>
  <c r="E40" i="43"/>
  <c r="I38" i="43"/>
  <c r="I36" i="43"/>
  <c r="I34" i="43"/>
  <c r="I30" i="43"/>
  <c r="I28" i="43"/>
  <c r="I24" i="43"/>
  <c r="I22" i="43"/>
  <c r="I18" i="43"/>
  <c r="I16" i="43"/>
  <c r="I12" i="43"/>
  <c r="I10" i="43"/>
  <c r="I37" i="43"/>
  <c r="I31" i="43"/>
  <c r="I25" i="43"/>
  <c r="I19" i="43"/>
  <c r="I13" i="43"/>
  <c r="I20" i="43"/>
  <c r="I35" i="40"/>
  <c r="I42" i="46"/>
  <c r="I39" i="46"/>
  <c r="I36" i="46"/>
  <c r="I33" i="46"/>
  <c r="I30" i="46"/>
  <c r="I27" i="46"/>
  <c r="I24" i="46"/>
  <c r="I21" i="46"/>
  <c r="I18" i="46"/>
  <c r="I15" i="46"/>
  <c r="I40" i="46"/>
  <c r="I37" i="46"/>
  <c r="I34" i="46"/>
  <c r="I31" i="46"/>
  <c r="I28" i="46"/>
  <c r="I25" i="46"/>
  <c r="I22" i="46"/>
  <c r="I19" i="46"/>
  <c r="I16" i="46"/>
  <c r="I13" i="46"/>
  <c r="I11" i="46"/>
  <c r="I9" i="46"/>
  <c r="I41" i="45"/>
  <c r="I42" i="45"/>
  <c r="I39" i="45"/>
  <c r="I37" i="45"/>
  <c r="I26" i="45"/>
  <c r="I23" i="45"/>
  <c r="I20" i="45"/>
  <c r="I17" i="45"/>
  <c r="I14" i="45"/>
  <c r="I35" i="45"/>
  <c r="I32" i="45"/>
  <c r="I29" i="45"/>
  <c r="I19" i="45"/>
  <c r="I11" i="45"/>
  <c r="I16" i="45"/>
  <c r="I34" i="45"/>
  <c r="I13" i="45"/>
  <c r="I31" i="45"/>
  <c r="I28" i="45"/>
  <c r="I9" i="45"/>
  <c r="I25" i="45"/>
  <c r="I22" i="45"/>
  <c r="I33" i="45"/>
  <c r="I9" i="43"/>
  <c r="I19" i="42"/>
  <c r="I28" i="40"/>
  <c r="I10" i="40"/>
  <c r="I20" i="32"/>
  <c r="I32" i="32"/>
  <c r="I13" i="22"/>
  <c r="I37" i="32"/>
  <c r="I48" i="27"/>
  <c r="I43" i="27"/>
  <c r="I23" i="27"/>
  <c r="I14" i="27"/>
  <c r="I36" i="27"/>
  <c r="I34" i="27"/>
  <c r="I30" i="27"/>
  <c r="I21" i="27"/>
  <c r="I12" i="27"/>
  <c r="I28" i="27"/>
  <c r="I26" i="27"/>
  <c r="I19" i="27"/>
  <c r="I17" i="27"/>
  <c r="I10" i="27"/>
  <c r="I44" i="27"/>
  <c r="I24" i="27"/>
  <c r="I15" i="27"/>
  <c r="I39" i="27"/>
  <c r="I37" i="27"/>
  <c r="I40" i="27"/>
  <c r="I40" i="31"/>
  <c r="I32" i="31"/>
  <c r="I26" i="31"/>
  <c r="I20" i="31"/>
  <c r="I14" i="31"/>
  <c r="E42" i="31"/>
  <c r="I35" i="31"/>
  <c r="I31" i="31"/>
  <c r="I29" i="31"/>
  <c r="I25" i="31"/>
  <c r="I23" i="31"/>
  <c r="I19" i="31"/>
  <c r="I17" i="31"/>
  <c r="I13" i="31"/>
  <c r="I11" i="31"/>
  <c r="I37" i="31"/>
  <c r="I39" i="31"/>
  <c r="I23" i="22"/>
  <c r="I33" i="27"/>
  <c r="I15" i="22"/>
  <c r="H40" i="16"/>
  <c r="H43" i="11"/>
  <c r="I45" i="13"/>
  <c r="I38" i="13"/>
  <c r="I32" i="13"/>
  <c r="I26" i="13"/>
  <c r="I20" i="13"/>
  <c r="I14" i="13"/>
  <c r="I49" i="13"/>
  <c r="I47" i="13"/>
  <c r="I42" i="13"/>
  <c r="I11" i="13"/>
  <c r="I44" i="13"/>
  <c r="I13" i="13"/>
  <c r="I46" i="13"/>
  <c r="I37" i="13"/>
  <c r="I35" i="13"/>
  <c r="I31" i="13"/>
  <c r="I29" i="13"/>
  <c r="I25" i="13"/>
  <c r="I23" i="13"/>
  <c r="I19" i="13"/>
  <c r="I17" i="13"/>
  <c r="I10" i="13"/>
  <c r="I43" i="13"/>
  <c r="I12" i="13"/>
  <c r="I30" i="13"/>
  <c r="I18" i="13"/>
  <c r="I31" i="12"/>
  <c r="I19" i="12"/>
  <c r="I41" i="6"/>
  <c r="I36" i="6"/>
  <c r="I33" i="6"/>
  <c r="I30" i="6"/>
  <c r="I27" i="6"/>
  <c r="I24" i="6"/>
  <c r="I21" i="6"/>
  <c r="I18" i="6"/>
  <c r="I15" i="6"/>
  <c r="I12" i="6"/>
  <c r="I10" i="6"/>
  <c r="I39" i="6"/>
  <c r="I37" i="6"/>
  <c r="I34" i="6"/>
  <c r="I31" i="6"/>
  <c r="I28" i="6"/>
  <c r="I25" i="6"/>
  <c r="I22" i="6"/>
  <c r="I19" i="6"/>
  <c r="I16" i="6"/>
  <c r="I13" i="6"/>
  <c r="E30" i="22"/>
  <c r="I9" i="6"/>
  <c r="I34" i="13"/>
  <c r="I26" i="6"/>
  <c r="H38" i="77"/>
  <c r="E34" i="70"/>
  <c r="I12" i="70"/>
  <c r="I15" i="70"/>
  <c r="I18" i="70"/>
  <c r="I32" i="70"/>
  <c r="I21" i="70"/>
  <c r="I30" i="70"/>
  <c r="I28" i="70"/>
  <c r="I11" i="70"/>
  <c r="I9" i="70"/>
  <c r="I16" i="70"/>
  <c r="I23" i="70"/>
  <c r="H48" i="63"/>
  <c r="I42" i="56"/>
  <c r="I39" i="56"/>
  <c r="I36" i="56"/>
  <c r="I33" i="56"/>
  <c r="I30" i="56"/>
  <c r="I27" i="56"/>
  <c r="I24" i="56"/>
  <c r="I21" i="56"/>
  <c r="I10" i="56"/>
  <c r="I16" i="56"/>
  <c r="I13" i="56"/>
  <c r="I42" i="60"/>
  <c r="I37" i="60"/>
  <c r="I34" i="60"/>
  <c r="I31" i="60"/>
  <c r="I28" i="60"/>
  <c r="I25" i="60"/>
  <c r="I19" i="60"/>
  <c r="I40" i="60"/>
  <c r="I18" i="60"/>
  <c r="C45" i="60"/>
  <c r="I33" i="60"/>
  <c r="I27" i="60"/>
  <c r="I11" i="60"/>
  <c r="I21" i="60"/>
  <c r="I12" i="60"/>
  <c r="I9" i="60"/>
  <c r="I36" i="60"/>
  <c r="I30" i="60"/>
  <c r="I24" i="60"/>
  <c r="I15" i="60"/>
  <c r="I40" i="56"/>
  <c r="I22" i="56"/>
  <c r="E45" i="60"/>
  <c r="E44" i="56"/>
  <c r="F44" i="56"/>
  <c r="I21" i="54"/>
  <c r="H41" i="34"/>
  <c r="H41" i="23"/>
  <c r="I22" i="22"/>
  <c r="I25" i="22"/>
  <c r="I28" i="22"/>
  <c r="I16" i="22"/>
  <c r="I11" i="22"/>
  <c r="I14" i="22"/>
  <c r="I21" i="22"/>
  <c r="I19" i="22"/>
  <c r="I9" i="22"/>
  <c r="I41" i="32"/>
  <c r="I34" i="32"/>
  <c r="I31" i="32"/>
  <c r="I28" i="32"/>
  <c r="I25" i="32"/>
  <c r="I43" i="32"/>
  <c r="I27" i="32"/>
  <c r="I22" i="32"/>
  <c r="F48" i="32"/>
  <c r="I40" i="32"/>
  <c r="I24" i="32"/>
  <c r="I15" i="32"/>
  <c r="I10" i="32"/>
  <c r="E48" i="32"/>
  <c r="I45" i="32"/>
  <c r="I19" i="32"/>
  <c r="I36" i="32"/>
  <c r="I21" i="32"/>
  <c r="I33" i="32"/>
  <c r="I16" i="32"/>
  <c r="I11" i="32"/>
  <c r="I38" i="32"/>
  <c r="I30" i="32"/>
  <c r="I13" i="32"/>
  <c r="H41" i="31"/>
  <c r="I23" i="19"/>
  <c r="I20" i="19"/>
  <c r="I17" i="19"/>
  <c r="I14" i="19"/>
  <c r="I11" i="19"/>
  <c r="I12" i="22"/>
  <c r="I9" i="19"/>
  <c r="E25" i="19"/>
  <c r="I33" i="12"/>
  <c r="I27" i="12"/>
  <c r="I21" i="12"/>
  <c r="I15" i="12"/>
  <c r="E41" i="12"/>
  <c r="I37" i="12"/>
  <c r="D41" i="12"/>
  <c r="I32" i="12"/>
  <c r="I30" i="12"/>
  <c r="I26" i="12"/>
  <c r="I24" i="12"/>
  <c r="I20" i="12"/>
  <c r="I18" i="12"/>
  <c r="I14" i="12"/>
  <c r="I12" i="12"/>
  <c r="I38" i="12"/>
  <c r="I28" i="12"/>
  <c r="I10" i="12"/>
  <c r="I23" i="6"/>
  <c r="C48" i="10"/>
  <c r="D49" i="5"/>
  <c r="C25" i="19"/>
  <c r="I15" i="2"/>
  <c r="I23" i="77"/>
  <c r="I28" i="77"/>
  <c r="H40" i="80"/>
  <c r="I41" i="79"/>
  <c r="I39" i="79"/>
  <c r="I37" i="79"/>
  <c r="I26" i="79"/>
  <c r="I23" i="79"/>
  <c r="I20" i="79"/>
  <c r="I17" i="79"/>
  <c r="I14" i="79"/>
  <c r="I11" i="79"/>
  <c r="I34" i="79"/>
  <c r="I28" i="79"/>
  <c r="I25" i="79"/>
  <c r="I22" i="79"/>
  <c r="I19" i="79"/>
  <c r="I16" i="79"/>
  <c r="I13" i="79"/>
  <c r="I10" i="79"/>
  <c r="D43" i="79"/>
  <c r="C43" i="79"/>
  <c r="I36" i="79"/>
  <c r="I31" i="79"/>
  <c r="I32" i="75"/>
  <c r="I28" i="75"/>
  <c r="I9" i="75"/>
  <c r="I46" i="72"/>
  <c r="I27" i="68"/>
  <c r="I32" i="68"/>
  <c r="I21" i="68"/>
  <c r="I12" i="68"/>
  <c r="F40" i="68"/>
  <c r="I37" i="68"/>
  <c r="I30" i="68"/>
  <c r="I19" i="68"/>
  <c r="I17" i="68"/>
  <c r="I10" i="68"/>
  <c r="E40" i="68"/>
  <c r="I14" i="70"/>
  <c r="I26" i="68"/>
  <c r="D40" i="68"/>
  <c r="C40" i="68"/>
  <c r="H41" i="64"/>
  <c r="C34" i="70"/>
  <c r="C45" i="65"/>
  <c r="I11" i="65"/>
  <c r="I9" i="65"/>
  <c r="F45" i="65"/>
  <c r="I31" i="65"/>
  <c r="I14" i="65"/>
  <c r="I16" i="65"/>
  <c r="I38" i="65"/>
  <c r="I21" i="65"/>
  <c r="I18" i="65"/>
  <c r="I10" i="65"/>
  <c r="I40" i="65"/>
  <c r="I33" i="65"/>
  <c r="I28" i="65"/>
  <c r="E45" i="65"/>
  <c r="I30" i="65"/>
  <c r="I20" i="65"/>
  <c r="I12" i="65"/>
  <c r="I42" i="65"/>
  <c r="I25" i="65"/>
  <c r="I20" i="60"/>
  <c r="I29" i="56"/>
  <c r="I30" i="54"/>
  <c r="I16" i="60"/>
  <c r="I15" i="56"/>
  <c r="I19" i="54"/>
  <c r="I39" i="60"/>
  <c r="D45" i="60"/>
  <c r="I14" i="63"/>
  <c r="I26" i="60"/>
  <c r="I37" i="56"/>
  <c r="I19" i="56"/>
  <c r="I17" i="56"/>
  <c r="D44" i="56"/>
  <c r="D41" i="54"/>
  <c r="I27" i="54"/>
  <c r="I18" i="54"/>
  <c r="H40" i="49"/>
  <c r="I18" i="56"/>
  <c r="I29" i="46"/>
  <c r="I40" i="45"/>
  <c r="I29" i="43"/>
  <c r="I11" i="43"/>
  <c r="I29" i="42"/>
  <c r="I22" i="42"/>
  <c r="I32" i="43"/>
  <c r="I14" i="43"/>
  <c r="I20" i="39"/>
  <c r="I14" i="39"/>
  <c r="I34" i="39"/>
  <c r="I32" i="39"/>
  <c r="I26" i="39"/>
  <c r="I36" i="39"/>
  <c r="I40" i="39"/>
  <c r="I19" i="39"/>
  <c r="I17" i="39"/>
  <c r="I13" i="39"/>
  <c r="I11" i="39"/>
  <c r="I31" i="39"/>
  <c r="I29" i="39"/>
  <c r="I25" i="39"/>
  <c r="I23" i="39"/>
  <c r="I37" i="39"/>
  <c r="I36" i="45"/>
  <c r="D40" i="40"/>
  <c r="D44" i="46"/>
  <c r="I33" i="43"/>
  <c r="I13" i="42"/>
  <c r="H43" i="41"/>
  <c r="I22" i="40"/>
  <c r="I21" i="39"/>
  <c r="I22" i="31"/>
  <c r="I35" i="27"/>
  <c r="E46" i="42"/>
  <c r="I35" i="28"/>
  <c r="I33" i="28"/>
  <c r="E40" i="28"/>
  <c r="I26" i="28"/>
  <c r="I24" i="28"/>
  <c r="I20" i="28"/>
  <c r="I18" i="28"/>
  <c r="I14" i="28"/>
  <c r="I12" i="28"/>
  <c r="I32" i="28"/>
  <c r="I30" i="28"/>
  <c r="I38" i="28"/>
  <c r="I27" i="28"/>
  <c r="I21" i="28"/>
  <c r="I15" i="28"/>
  <c r="I9" i="28"/>
  <c r="H49" i="27"/>
  <c r="D42" i="23"/>
  <c r="C42" i="23"/>
  <c r="I36" i="23"/>
  <c r="I32" i="23"/>
  <c r="I30" i="23"/>
  <c r="I23" i="23"/>
  <c r="I21" i="23"/>
  <c r="I14" i="23"/>
  <c r="I12" i="23"/>
  <c r="I10" i="23"/>
  <c r="I28" i="23"/>
  <c r="I19" i="23"/>
  <c r="I39" i="23"/>
  <c r="I33" i="23"/>
  <c r="I26" i="23"/>
  <c r="I24" i="23"/>
  <c r="I17" i="23"/>
  <c r="I15" i="23"/>
  <c r="I11" i="23"/>
  <c r="I19" i="19"/>
  <c r="D42" i="39"/>
  <c r="D42" i="34"/>
  <c r="I42" i="33"/>
  <c r="I40" i="33"/>
  <c r="I37" i="33"/>
  <c r="I34" i="33"/>
  <c r="I31" i="33"/>
  <c r="I33" i="33"/>
  <c r="I25" i="33"/>
  <c r="I30" i="33"/>
  <c r="I22" i="33"/>
  <c r="I19" i="33"/>
  <c r="E45" i="33"/>
  <c r="I16" i="33"/>
  <c r="I39" i="33"/>
  <c r="I13" i="33"/>
  <c r="I36" i="33"/>
  <c r="I28" i="33"/>
  <c r="I10" i="33"/>
  <c r="I16" i="28"/>
  <c r="I38" i="27"/>
  <c r="I20" i="22"/>
  <c r="I39" i="32"/>
  <c r="I14" i="32"/>
  <c r="H47" i="32"/>
  <c r="I33" i="30"/>
  <c r="I15" i="30"/>
  <c r="I27" i="29"/>
  <c r="I9" i="29"/>
  <c r="I28" i="28"/>
  <c r="I42" i="21"/>
  <c r="I45" i="21"/>
  <c r="I35" i="21"/>
  <c r="I32" i="21"/>
  <c r="I29" i="21"/>
  <c r="I26" i="21"/>
  <c r="I23" i="21"/>
  <c r="I20" i="21"/>
  <c r="I17" i="21"/>
  <c r="I14" i="21"/>
  <c r="I11" i="21"/>
  <c r="I43" i="21"/>
  <c r="I40" i="21"/>
  <c r="I38" i="21"/>
  <c r="I44" i="32"/>
  <c r="D50" i="27"/>
  <c r="I29" i="27"/>
  <c r="I11" i="27"/>
  <c r="I22" i="24"/>
  <c r="I24" i="21"/>
  <c r="H42" i="20"/>
  <c r="F47" i="21"/>
  <c r="I42" i="24"/>
  <c r="H50" i="13"/>
  <c r="I39" i="8"/>
  <c r="I36" i="8"/>
  <c r="I33" i="8"/>
  <c r="I30" i="8"/>
  <c r="I27" i="8"/>
  <c r="I24" i="8"/>
  <c r="I21" i="8"/>
  <c r="I18" i="8"/>
  <c r="I13" i="8"/>
  <c r="I10" i="8"/>
  <c r="I40" i="8"/>
  <c r="I37" i="8"/>
  <c r="I34" i="8"/>
  <c r="I31" i="8"/>
  <c r="I28" i="8"/>
  <c r="I25" i="8"/>
  <c r="I22" i="8"/>
  <c r="I19" i="8"/>
  <c r="I16" i="8"/>
  <c r="I14" i="8"/>
  <c r="I11" i="8"/>
  <c r="C40" i="28"/>
  <c r="F44" i="24"/>
  <c r="C47" i="21"/>
  <c r="I39" i="12"/>
  <c r="I37" i="28"/>
  <c r="C43" i="20"/>
  <c r="I35" i="17"/>
  <c r="I20" i="17"/>
  <c r="I14" i="17"/>
  <c r="E45" i="17"/>
  <c r="I42" i="17"/>
  <c r="I37" i="17"/>
  <c r="I32" i="17"/>
  <c r="I34" i="17"/>
  <c r="I29" i="17"/>
  <c r="I39" i="17"/>
  <c r="I31" i="17"/>
  <c r="I26" i="17"/>
  <c r="I19" i="17"/>
  <c r="I17" i="17"/>
  <c r="I13" i="17"/>
  <c r="I11" i="17"/>
  <c r="I28" i="17"/>
  <c r="I23" i="17"/>
  <c r="I27" i="16"/>
  <c r="I32" i="15"/>
  <c r="I30" i="15"/>
  <c r="I26" i="15"/>
  <c r="I24" i="15"/>
  <c r="I18" i="15"/>
  <c r="I16" i="15"/>
  <c r="I12" i="15"/>
  <c r="I10" i="15"/>
  <c r="I38" i="15"/>
  <c r="I36" i="15"/>
  <c r="I33" i="15"/>
  <c r="I27" i="15"/>
  <c r="I21" i="15"/>
  <c r="I19" i="15"/>
  <c r="I13" i="15"/>
  <c r="C30" i="22"/>
  <c r="I10" i="20"/>
  <c r="C51" i="13"/>
  <c r="I35" i="10"/>
  <c r="I17" i="10"/>
  <c r="I32" i="8"/>
  <c r="I40" i="6"/>
  <c r="I42" i="5"/>
  <c r="I13" i="5"/>
  <c r="I24" i="10"/>
  <c r="I38" i="6"/>
  <c r="I20" i="6"/>
  <c r="I37" i="5"/>
  <c r="I20" i="3"/>
  <c r="I17" i="3"/>
  <c r="I14" i="3"/>
  <c r="I42" i="3"/>
  <c r="I40" i="3"/>
  <c r="I35" i="3"/>
  <c r="I21" i="3"/>
  <c r="I18" i="3"/>
  <c r="I15" i="3"/>
  <c r="I38" i="3"/>
  <c r="I33" i="3"/>
  <c r="I30" i="3"/>
  <c r="I27" i="3"/>
  <c r="I24" i="3"/>
  <c r="I10" i="3"/>
  <c r="I23" i="3"/>
  <c r="I32" i="3"/>
  <c r="I12" i="3"/>
  <c r="I37" i="3"/>
  <c r="I29" i="3"/>
  <c r="I9" i="3"/>
  <c r="I26" i="3"/>
  <c r="I10" i="17"/>
  <c r="I28" i="3"/>
  <c r="I9" i="13"/>
  <c r="I41" i="8"/>
  <c r="I35" i="15"/>
  <c r="I45" i="5"/>
  <c r="I22" i="3"/>
  <c r="I22" i="13"/>
  <c r="C43" i="6"/>
  <c r="I34" i="3"/>
  <c r="I29" i="77"/>
  <c r="I26" i="77"/>
  <c r="I16" i="75"/>
  <c r="I17" i="77"/>
  <c r="D39" i="77"/>
  <c r="I41" i="72"/>
  <c r="I48" i="72"/>
  <c r="I43" i="72"/>
  <c r="I36" i="72"/>
  <c r="I32" i="72"/>
  <c r="I26" i="72"/>
  <c r="I12" i="72"/>
  <c r="I39" i="72"/>
  <c r="I37" i="72"/>
  <c r="I29" i="72"/>
  <c r="I23" i="72"/>
  <c r="I31" i="72"/>
  <c r="I13" i="72"/>
  <c r="I10" i="72"/>
  <c r="I25" i="72"/>
  <c r="I44" i="72"/>
  <c r="I19" i="72"/>
  <c r="I35" i="72"/>
  <c r="I24" i="72"/>
  <c r="I38" i="72"/>
  <c r="I25" i="77"/>
  <c r="I40" i="78"/>
  <c r="I38" i="78"/>
  <c r="I35" i="78"/>
  <c r="I32" i="78"/>
  <c r="I29" i="78"/>
  <c r="I26" i="78"/>
  <c r="I23" i="78"/>
  <c r="I20" i="78"/>
  <c r="I17" i="78"/>
  <c r="I14" i="78"/>
  <c r="I11" i="78"/>
  <c r="I38" i="79"/>
  <c r="I24" i="79"/>
  <c r="I18" i="79"/>
  <c r="I12" i="79"/>
  <c r="I33" i="79"/>
  <c r="I35" i="77"/>
  <c r="I14" i="77"/>
  <c r="H19" i="74"/>
  <c r="I38" i="76"/>
  <c r="I34" i="76"/>
  <c r="I30" i="76"/>
  <c r="I21" i="76"/>
  <c r="I12" i="76"/>
  <c r="I41" i="76"/>
  <c r="I27" i="76"/>
  <c r="D45" i="76"/>
  <c r="I43" i="76"/>
  <c r="I29" i="76"/>
  <c r="I18" i="76"/>
  <c r="I33" i="76"/>
  <c r="I20" i="76"/>
  <c r="I9" i="76"/>
  <c r="I24" i="76"/>
  <c r="I11" i="76"/>
  <c r="I37" i="76"/>
  <c r="I26" i="76"/>
  <c r="I15" i="76"/>
  <c r="F43" i="78"/>
  <c r="I21" i="78"/>
  <c r="I11" i="77"/>
  <c r="I17" i="74"/>
  <c r="I15" i="74"/>
  <c r="I11" i="74"/>
  <c r="I9" i="74"/>
  <c r="I16" i="74"/>
  <c r="I14" i="74"/>
  <c r="I12" i="74"/>
  <c r="D20" i="74"/>
  <c r="I45" i="72"/>
  <c r="D43" i="78"/>
  <c r="I20" i="77"/>
  <c r="I13" i="76"/>
  <c r="I18" i="74"/>
  <c r="I36" i="73"/>
  <c r="I42" i="76"/>
  <c r="D50" i="72"/>
  <c r="I17" i="72"/>
  <c r="I19" i="70"/>
  <c r="I20" i="68"/>
  <c r="I14" i="72"/>
  <c r="I29" i="70"/>
  <c r="I16" i="68"/>
  <c r="I10" i="70"/>
  <c r="I25" i="68"/>
  <c r="I22" i="72"/>
  <c r="I24" i="68"/>
  <c r="I24" i="66"/>
  <c r="I10" i="66"/>
  <c r="I39" i="65"/>
  <c r="I37" i="63"/>
  <c r="C40" i="66"/>
  <c r="I40" i="64"/>
  <c r="I24" i="64"/>
  <c r="I37" i="64"/>
  <c r="I30" i="64"/>
  <c r="I26" i="64"/>
  <c r="I39" i="64"/>
  <c r="I32" i="64"/>
  <c r="I15" i="64"/>
  <c r="I13" i="64"/>
  <c r="I36" i="64"/>
  <c r="I34" i="64"/>
  <c r="I23" i="64"/>
  <c r="I21" i="64"/>
  <c r="I19" i="64"/>
  <c r="I38" i="64"/>
  <c r="I29" i="64"/>
  <c r="I27" i="64"/>
  <c r="I10" i="64"/>
  <c r="I16" i="64"/>
  <c r="I29" i="68"/>
  <c r="I13" i="65"/>
  <c r="I12" i="64"/>
  <c r="I29" i="63"/>
  <c r="I17" i="63"/>
  <c r="I43" i="60"/>
  <c r="H44" i="55"/>
  <c r="I10" i="58"/>
  <c r="I26" i="56"/>
  <c r="H43" i="56"/>
  <c r="H40" i="54"/>
  <c r="I9" i="61"/>
  <c r="I32" i="59"/>
  <c r="I12" i="56"/>
  <c r="I16" i="54"/>
  <c r="I34" i="61"/>
  <c r="I23" i="60"/>
  <c r="I11" i="59"/>
  <c r="I34" i="56"/>
  <c r="I32" i="54"/>
  <c r="I12" i="54"/>
  <c r="C44" i="56"/>
  <c r="I15" i="54"/>
  <c r="I47" i="48"/>
  <c r="I37" i="48"/>
  <c r="I34" i="48"/>
  <c r="I31" i="48"/>
  <c r="I28" i="48"/>
  <c r="I45" i="48"/>
  <c r="I43" i="48"/>
  <c r="I40" i="48"/>
  <c r="I26" i="48"/>
  <c r="I23" i="48"/>
  <c r="I20" i="48"/>
  <c r="I17" i="48"/>
  <c r="I14" i="48"/>
  <c r="I11" i="48"/>
  <c r="I38" i="48"/>
  <c r="I35" i="48"/>
  <c r="I32" i="48"/>
  <c r="I29" i="48"/>
  <c r="I41" i="48"/>
  <c r="I24" i="48"/>
  <c r="I21" i="48"/>
  <c r="I18" i="48"/>
  <c r="I15" i="48"/>
  <c r="I12" i="48"/>
  <c r="I9" i="48"/>
  <c r="H43" i="45"/>
  <c r="I14" i="56"/>
  <c r="I36" i="49"/>
  <c r="I34" i="49"/>
  <c r="I35" i="49"/>
  <c r="I26" i="49"/>
  <c r="I23" i="49"/>
  <c r="I18" i="49"/>
  <c r="I15" i="49"/>
  <c r="I12" i="49"/>
  <c r="I9" i="49"/>
  <c r="I27" i="49"/>
  <c r="I24" i="49"/>
  <c r="I21" i="49"/>
  <c r="I30" i="49"/>
  <c r="I19" i="49"/>
  <c r="I16" i="49"/>
  <c r="I13" i="49"/>
  <c r="I10" i="49"/>
  <c r="I9" i="56"/>
  <c r="I36" i="48"/>
  <c r="I26" i="46"/>
  <c r="I20" i="49"/>
  <c r="I38" i="45"/>
  <c r="C46" i="42"/>
  <c r="I22" i="48"/>
  <c r="I22" i="39"/>
  <c r="C44" i="45"/>
  <c r="I40" i="44"/>
  <c r="I38" i="44"/>
  <c r="I27" i="44"/>
  <c r="I24" i="44"/>
  <c r="I21" i="44"/>
  <c r="I18" i="44"/>
  <c r="I46" i="44"/>
  <c r="I10" i="44"/>
  <c r="I47" i="44"/>
  <c r="I30" i="44"/>
  <c r="I23" i="44"/>
  <c r="I42" i="44"/>
  <c r="I32" i="44"/>
  <c r="I16" i="44"/>
  <c r="I36" i="44"/>
  <c r="I29" i="44"/>
  <c r="I20" i="44"/>
  <c r="I9" i="44"/>
  <c r="I13" i="44"/>
  <c r="I43" i="44"/>
  <c r="I33" i="44"/>
  <c r="I26" i="44"/>
  <c r="I17" i="44"/>
  <c r="I13" i="40"/>
  <c r="I11" i="49"/>
  <c r="I34" i="44"/>
  <c r="I38" i="39"/>
  <c r="I15" i="45"/>
  <c r="I11" i="44"/>
  <c r="F42" i="39"/>
  <c r="I27" i="43"/>
  <c r="I34" i="42"/>
  <c r="C40" i="40"/>
  <c r="I22" i="36"/>
  <c r="I39" i="34"/>
  <c r="I36" i="34"/>
  <c r="I33" i="34"/>
  <c r="I30" i="34"/>
  <c r="I27" i="34"/>
  <c r="I24" i="34"/>
  <c r="I21" i="34"/>
  <c r="I18" i="34"/>
  <c r="I15" i="34"/>
  <c r="I12" i="34"/>
  <c r="I10" i="34"/>
  <c r="I40" i="34"/>
  <c r="I37" i="34"/>
  <c r="I34" i="34"/>
  <c r="I31" i="34"/>
  <c r="I28" i="34"/>
  <c r="I25" i="34"/>
  <c r="I22" i="34"/>
  <c r="I19" i="34"/>
  <c r="I16" i="34"/>
  <c r="I13" i="34"/>
  <c r="F46" i="42"/>
  <c r="C48" i="32"/>
  <c r="I27" i="23"/>
  <c r="I42" i="42"/>
  <c r="I46" i="32"/>
  <c r="I30" i="31"/>
  <c r="I18" i="31"/>
  <c r="I16" i="19"/>
  <c r="I29" i="32"/>
  <c r="I38" i="31"/>
  <c r="I38" i="34"/>
  <c r="I20" i="34"/>
  <c r="I38" i="40"/>
  <c r="I33" i="31"/>
  <c r="I15" i="31"/>
  <c r="I38" i="29"/>
  <c r="I32" i="29"/>
  <c r="I26" i="29"/>
  <c r="I20" i="29"/>
  <c r="I14" i="29"/>
  <c r="F44" i="29"/>
  <c r="I40" i="29"/>
  <c r="I42" i="29"/>
  <c r="I37" i="29"/>
  <c r="I35" i="29"/>
  <c r="I31" i="29"/>
  <c r="I29" i="29"/>
  <c r="I25" i="29"/>
  <c r="I23" i="29"/>
  <c r="I19" i="29"/>
  <c r="I17" i="29"/>
  <c r="I13" i="29"/>
  <c r="I11" i="29"/>
  <c r="H43" i="29"/>
  <c r="E50" i="27"/>
  <c r="E35" i="36"/>
  <c r="I18" i="32"/>
  <c r="I46" i="27"/>
  <c r="E40" i="25"/>
  <c r="D40" i="25"/>
  <c r="C40" i="25"/>
  <c r="I38" i="25"/>
  <c r="I34" i="25"/>
  <c r="I29" i="25"/>
  <c r="I22" i="25"/>
  <c r="I20" i="25"/>
  <c r="I13" i="25"/>
  <c r="I32" i="25"/>
  <c r="I27" i="25"/>
  <c r="I18" i="25"/>
  <c r="I9" i="25"/>
  <c r="I37" i="25"/>
  <c r="I30" i="25"/>
  <c r="I25" i="25"/>
  <c r="I23" i="25"/>
  <c r="I16" i="25"/>
  <c r="I14" i="25"/>
  <c r="I12" i="25"/>
  <c r="I35" i="25"/>
  <c r="I33" i="25"/>
  <c r="I10" i="25"/>
  <c r="I26" i="22"/>
  <c r="I21" i="21"/>
  <c r="I21" i="19"/>
  <c r="I9" i="27"/>
  <c r="I41" i="21"/>
  <c r="D40" i="28"/>
  <c r="I10" i="22"/>
  <c r="I36" i="13"/>
  <c r="I24" i="13"/>
  <c r="C41" i="12"/>
  <c r="I25" i="12"/>
  <c r="I13" i="12"/>
  <c r="I29" i="28"/>
  <c r="I27" i="22"/>
  <c r="I37" i="18"/>
  <c r="I28" i="18"/>
  <c r="I16" i="18"/>
  <c r="I25" i="18"/>
  <c r="I22" i="18"/>
  <c r="I13" i="18"/>
  <c r="I34" i="18"/>
  <c r="I19" i="18"/>
  <c r="I10" i="18"/>
  <c r="I31" i="18"/>
  <c r="I27" i="14"/>
  <c r="I33" i="14"/>
  <c r="I31" i="14"/>
  <c r="I29" i="14"/>
  <c r="I12" i="14"/>
  <c r="I10" i="14"/>
  <c r="I26" i="14"/>
  <c r="I24" i="14"/>
  <c r="I20" i="14"/>
  <c r="I18" i="14"/>
  <c r="I28" i="14"/>
  <c r="I32" i="14"/>
  <c r="I15" i="14"/>
  <c r="I13" i="14"/>
  <c r="I9" i="14"/>
  <c r="I21" i="14"/>
  <c r="I22" i="14"/>
  <c r="F50" i="27"/>
  <c r="I33" i="13"/>
  <c r="I15" i="13"/>
  <c r="I22" i="12"/>
  <c r="F25" i="19"/>
  <c r="I36" i="17"/>
  <c r="I25" i="17"/>
  <c r="I29" i="15"/>
  <c r="I30" i="14"/>
  <c r="I29" i="8"/>
  <c r="D43" i="8"/>
  <c r="I35" i="6"/>
  <c r="I17" i="6"/>
  <c r="E41" i="16"/>
  <c r="I16" i="17"/>
  <c r="I17" i="12"/>
  <c r="F43" i="6"/>
  <c r="E35" i="14"/>
  <c r="E45" i="3"/>
  <c r="I38" i="2"/>
  <c r="I22" i="2"/>
  <c r="I37" i="2"/>
  <c r="I34" i="2"/>
  <c r="I31" i="2"/>
  <c r="I28" i="2"/>
  <c r="I25" i="2"/>
  <c r="I36" i="2"/>
  <c r="I24" i="2"/>
  <c r="I19" i="2"/>
  <c r="I10" i="2"/>
  <c r="I33" i="2"/>
  <c r="I21" i="2"/>
  <c r="I16" i="2"/>
  <c r="I30" i="2"/>
  <c r="I18" i="2"/>
  <c r="I9" i="2"/>
  <c r="I13" i="2"/>
  <c r="I27" i="2"/>
  <c r="I23" i="2"/>
  <c r="I29" i="12"/>
  <c r="I11" i="2"/>
  <c r="F51" i="13"/>
  <c r="E43" i="8"/>
  <c r="C39" i="75"/>
  <c r="I21" i="75"/>
  <c r="I30" i="75"/>
  <c r="I27" i="75"/>
  <c r="I12" i="75"/>
  <c r="I10" i="75"/>
  <c r="I29" i="75"/>
  <c r="I20" i="75"/>
  <c r="I18" i="75"/>
  <c r="I24" i="75"/>
  <c r="I17" i="75"/>
  <c r="I15" i="75"/>
  <c r="I13" i="75"/>
  <c r="I35" i="75"/>
  <c r="I33" i="75"/>
  <c r="I37" i="77"/>
  <c r="I36" i="75"/>
  <c r="H36" i="71"/>
  <c r="H33" i="70"/>
  <c r="I26" i="70"/>
  <c r="F34" i="70"/>
  <c r="H39" i="66"/>
  <c r="I41" i="56"/>
  <c r="I23" i="56"/>
  <c r="I35" i="60"/>
  <c r="I13" i="54"/>
  <c r="I14" i="60"/>
  <c r="I17" i="60"/>
  <c r="I31" i="56"/>
  <c r="I29" i="54"/>
  <c r="E41" i="54"/>
  <c r="I11" i="56"/>
  <c r="F45" i="60"/>
  <c r="I41" i="46"/>
  <c r="I23" i="46"/>
  <c r="C49" i="48"/>
  <c r="D40" i="43"/>
  <c r="I23" i="43"/>
  <c r="I36" i="42"/>
  <c r="I37" i="44"/>
  <c r="I12" i="44"/>
  <c r="I18" i="39"/>
  <c r="I21" i="45"/>
  <c r="I16" i="42"/>
  <c r="F49" i="48"/>
  <c r="F49" i="44"/>
  <c r="I25" i="44"/>
  <c r="I26" i="43"/>
  <c r="I16" i="36"/>
  <c r="E44" i="46"/>
  <c r="F40" i="43"/>
  <c r="I41" i="42"/>
  <c r="I15" i="39"/>
  <c r="I19" i="36"/>
  <c r="F44" i="45"/>
  <c r="D49" i="44"/>
  <c r="I31" i="44"/>
  <c r="I21" i="43"/>
  <c r="I25" i="42"/>
  <c r="I36" i="40"/>
  <c r="I16" i="40"/>
  <c r="I33" i="39"/>
  <c r="I20" i="36"/>
  <c r="I34" i="31"/>
  <c r="I16" i="31"/>
  <c r="I25" i="28"/>
  <c r="I13" i="28"/>
  <c r="I20" i="23"/>
  <c r="E40" i="40"/>
  <c r="I25" i="24"/>
  <c r="I40" i="23"/>
  <c r="I13" i="19"/>
  <c r="E42" i="34"/>
  <c r="I17" i="32"/>
  <c r="I35" i="34"/>
  <c r="I17" i="34"/>
  <c r="I42" i="32"/>
  <c r="I10" i="28"/>
  <c r="I32" i="27"/>
  <c r="I24" i="33"/>
  <c r="I26" i="32"/>
  <c r="I39" i="29"/>
  <c r="I21" i="29"/>
  <c r="I36" i="28"/>
  <c r="I47" i="27"/>
  <c r="F30" i="22"/>
  <c r="I21" i="33"/>
  <c r="F42" i="31"/>
  <c r="I42" i="27"/>
  <c r="I22" i="27"/>
  <c r="I9" i="24"/>
  <c r="I22" i="23"/>
  <c r="I24" i="22"/>
  <c r="I36" i="21"/>
  <c r="I18" i="21"/>
  <c r="I18" i="19"/>
  <c r="C50" i="27"/>
  <c r="E47" i="21"/>
  <c r="I36" i="20"/>
  <c r="I34" i="20"/>
  <c r="I32" i="20"/>
  <c r="I41" i="20"/>
  <c r="I39" i="20"/>
  <c r="I30" i="20"/>
  <c r="I27" i="20"/>
  <c r="I24" i="20"/>
  <c r="I21" i="20"/>
  <c r="I18" i="20"/>
  <c r="I15" i="20"/>
  <c r="I12" i="20"/>
  <c r="I9" i="20"/>
  <c r="I17" i="20"/>
  <c r="I14" i="20"/>
  <c r="I29" i="20"/>
  <c r="I11" i="20"/>
  <c r="I26" i="20"/>
  <c r="I38" i="20"/>
  <c r="I23" i="20"/>
  <c r="I20" i="20"/>
  <c r="H38" i="18"/>
  <c r="I41" i="27"/>
  <c r="D47" i="21"/>
  <c r="E39" i="18"/>
  <c r="I9" i="18"/>
  <c r="I13" i="16"/>
  <c r="I22" i="15"/>
  <c r="I27" i="27"/>
  <c r="I35" i="20"/>
  <c r="I27" i="18"/>
  <c r="I21" i="17"/>
  <c r="I39" i="16"/>
  <c r="I21" i="16"/>
  <c r="C42" i="31"/>
  <c r="I24" i="18"/>
  <c r="I23" i="15"/>
  <c r="I23" i="14"/>
  <c r="I48" i="13"/>
  <c r="I28" i="10"/>
  <c r="I26" i="8"/>
  <c r="I25" i="5"/>
  <c r="I32" i="6"/>
  <c r="I14" i="6"/>
  <c r="I40" i="13"/>
  <c r="I34" i="5"/>
  <c r="I16" i="13"/>
  <c r="D45" i="3"/>
  <c r="I28" i="13"/>
  <c r="I15" i="8"/>
  <c r="E40" i="2"/>
  <c r="H42" i="78"/>
  <c r="I40" i="79"/>
  <c r="H42" i="79"/>
  <c r="I29" i="79"/>
  <c r="I35" i="79"/>
  <c r="I35" i="76"/>
  <c r="E39" i="77"/>
  <c r="I10" i="76"/>
  <c r="I33" i="78"/>
  <c r="I15" i="78"/>
  <c r="I20" i="72"/>
  <c r="I37" i="75"/>
  <c r="I42" i="73"/>
  <c r="I40" i="73"/>
  <c r="I35" i="73"/>
  <c r="I31" i="73"/>
  <c r="I29" i="73"/>
  <c r="I27" i="73"/>
  <c r="I23" i="73"/>
  <c r="I44" i="73"/>
  <c r="I37" i="73"/>
  <c r="I18" i="73"/>
  <c r="I12" i="73"/>
  <c r="I34" i="73"/>
  <c r="I32" i="73"/>
  <c r="I28" i="73"/>
  <c r="I26" i="73"/>
  <c r="I24" i="73"/>
  <c r="I21" i="73"/>
  <c r="I15" i="73"/>
  <c r="I9" i="73"/>
  <c r="H38" i="75"/>
  <c r="I31" i="75"/>
  <c r="I22" i="75"/>
  <c r="I30" i="73"/>
  <c r="I19" i="76"/>
  <c r="I43" i="73"/>
  <c r="D34" i="70"/>
  <c r="I11" i="68"/>
  <c r="F39" i="75"/>
  <c r="I22" i="70"/>
  <c r="I32" i="76"/>
  <c r="I34" i="68"/>
  <c r="H39" i="68"/>
  <c r="I34" i="72"/>
  <c r="I13" i="70"/>
  <c r="I39" i="73"/>
  <c r="I35" i="68"/>
  <c r="I17" i="70"/>
  <c r="D49" i="63"/>
  <c r="I45" i="63"/>
  <c r="C49" i="63"/>
  <c r="I47" i="63"/>
  <c r="I36" i="63"/>
  <c r="I34" i="63"/>
  <c r="I30" i="63"/>
  <c r="I28" i="63"/>
  <c r="I24" i="63"/>
  <c r="I22" i="63"/>
  <c r="I18" i="63"/>
  <c r="I16" i="63"/>
  <c r="I12" i="63"/>
  <c r="I10" i="63"/>
  <c r="I38" i="63"/>
  <c r="I46" i="63"/>
  <c r="I44" i="63"/>
  <c r="I42" i="63"/>
  <c r="I33" i="63"/>
  <c r="I31" i="63"/>
  <c r="I27" i="63"/>
  <c r="I25" i="63"/>
  <c r="I21" i="63"/>
  <c r="I19" i="63"/>
  <c r="I15" i="63"/>
  <c r="I13" i="63"/>
  <c r="I39" i="63"/>
  <c r="I9" i="63"/>
  <c r="I11" i="66"/>
  <c r="I36" i="66"/>
  <c r="I14" i="66"/>
  <c r="I29" i="66"/>
  <c r="I21" i="66"/>
  <c r="I31" i="66"/>
  <c r="I19" i="66"/>
  <c r="I29" i="65"/>
  <c r="I43" i="63"/>
  <c r="I27" i="66"/>
  <c r="I40" i="63"/>
  <c r="I32" i="65"/>
  <c r="H41" i="61"/>
  <c r="I36" i="58"/>
  <c r="I37" i="58"/>
  <c r="I20" i="58"/>
  <c r="I17" i="58"/>
  <c r="I14" i="58"/>
  <c r="I11" i="58"/>
  <c r="I32" i="58"/>
  <c r="I29" i="58"/>
  <c r="I26" i="58"/>
  <c r="I23" i="58"/>
  <c r="I38" i="56"/>
  <c r="I20" i="56"/>
  <c r="I32" i="63"/>
  <c r="I40" i="61"/>
  <c r="D42" i="61"/>
  <c r="I35" i="61"/>
  <c r="I17" i="61"/>
  <c r="C42" i="61"/>
  <c r="I32" i="61"/>
  <c r="I14" i="61"/>
  <c r="I37" i="61"/>
  <c r="I29" i="61"/>
  <c r="I19" i="61"/>
  <c r="I11" i="61"/>
  <c r="I26" i="61"/>
  <c r="I31" i="61"/>
  <c r="I23" i="61"/>
  <c r="I13" i="61"/>
  <c r="I38" i="61"/>
  <c r="I20" i="61"/>
  <c r="I28" i="58"/>
  <c r="I10" i="54"/>
  <c r="I24" i="61"/>
  <c r="I36" i="59"/>
  <c r="I34" i="59"/>
  <c r="I29" i="59"/>
  <c r="I26" i="59"/>
  <c r="I23" i="59"/>
  <c r="I20" i="59"/>
  <c r="I18" i="59"/>
  <c r="I15" i="59"/>
  <c r="I12" i="59"/>
  <c r="I9" i="59"/>
  <c r="I37" i="59"/>
  <c r="I27" i="59"/>
  <c r="I24" i="59"/>
  <c r="I21" i="59"/>
  <c r="I16" i="59"/>
  <c r="I13" i="59"/>
  <c r="I10" i="59"/>
  <c r="I35" i="59"/>
  <c r="I33" i="59"/>
  <c r="I30" i="59"/>
  <c r="I19" i="59"/>
  <c r="I39" i="61"/>
  <c r="E49" i="63"/>
  <c r="I36" i="61"/>
  <c r="I41" i="60"/>
  <c r="I13" i="60"/>
  <c r="I25" i="59"/>
  <c r="I15" i="58"/>
  <c r="I28" i="56"/>
  <c r="I21" i="58"/>
  <c r="I24" i="54"/>
  <c r="F40" i="58"/>
  <c r="I31" i="59"/>
  <c r="D40" i="58"/>
  <c r="I38" i="59"/>
  <c r="F41" i="54"/>
  <c r="I46" i="48"/>
  <c r="I30" i="48"/>
  <c r="I38" i="46"/>
  <c r="I20" i="46"/>
  <c r="I19" i="48"/>
  <c r="I30" i="45"/>
  <c r="I16" i="39"/>
  <c r="I12" i="46"/>
  <c r="C40" i="43"/>
  <c r="H45" i="42"/>
  <c r="I25" i="40"/>
  <c r="I30" i="39"/>
  <c r="I10" i="48"/>
  <c r="C35" i="36"/>
  <c r="I18" i="36"/>
  <c r="I21" i="36"/>
  <c r="I29" i="36"/>
  <c r="I24" i="36"/>
  <c r="I11" i="36"/>
  <c r="I9" i="36"/>
  <c r="I27" i="36"/>
  <c r="I14" i="36"/>
  <c r="I32" i="36"/>
  <c r="I30" i="36"/>
  <c r="I17" i="36"/>
  <c r="I12" i="36"/>
  <c r="I15" i="36"/>
  <c r="I17" i="49"/>
  <c r="I22" i="44"/>
  <c r="I15" i="43"/>
  <c r="F40" i="40"/>
  <c r="I35" i="32"/>
  <c r="I18" i="23"/>
  <c r="I31" i="36"/>
  <c r="I25" i="27"/>
  <c r="I38" i="23"/>
  <c r="I16" i="23"/>
  <c r="I18" i="22"/>
  <c r="I10" i="19"/>
  <c r="I36" i="31"/>
  <c r="D44" i="24"/>
  <c r="I34" i="24"/>
  <c r="I40" i="24"/>
  <c r="I38" i="24"/>
  <c r="I32" i="24"/>
  <c r="I30" i="24"/>
  <c r="I23" i="24"/>
  <c r="I21" i="24"/>
  <c r="I16" i="24"/>
  <c r="I11" i="24"/>
  <c r="I28" i="24"/>
  <c r="I19" i="24"/>
  <c r="I14" i="24"/>
  <c r="I41" i="24"/>
  <c r="I35" i="24"/>
  <c r="I33" i="24"/>
  <c r="I26" i="24"/>
  <c r="I24" i="24"/>
  <c r="I17" i="24"/>
  <c r="I20" i="24"/>
  <c r="C42" i="39"/>
  <c r="I32" i="34"/>
  <c r="I14" i="34"/>
  <c r="I34" i="30"/>
  <c r="I32" i="30"/>
  <c r="I26" i="30"/>
  <c r="I20" i="30"/>
  <c r="I36" i="30"/>
  <c r="I9" i="30"/>
  <c r="E39" i="30"/>
  <c r="I13" i="30"/>
  <c r="I11" i="30"/>
  <c r="I31" i="30"/>
  <c r="I29" i="30"/>
  <c r="I25" i="30"/>
  <c r="I23" i="30"/>
  <c r="I19" i="30"/>
  <c r="I17" i="30"/>
  <c r="I37" i="30"/>
  <c r="I14" i="30"/>
  <c r="I12" i="30"/>
  <c r="C42" i="34"/>
  <c r="I23" i="32"/>
  <c r="I9" i="32"/>
  <c r="I27" i="31"/>
  <c r="I9" i="31"/>
  <c r="I23" i="28"/>
  <c r="I20" i="27"/>
  <c r="I31" i="24"/>
  <c r="I37" i="23"/>
  <c r="I17" i="22"/>
  <c r="I33" i="21"/>
  <c r="I15" i="21"/>
  <c r="I15" i="19"/>
  <c r="I36" i="24"/>
  <c r="I37" i="21"/>
  <c r="D25" i="19"/>
  <c r="I18" i="27"/>
  <c r="I33" i="18"/>
  <c r="I34" i="23"/>
  <c r="I16" i="20"/>
  <c r="I38" i="16"/>
  <c r="I32" i="16"/>
  <c r="I26" i="16"/>
  <c r="I20" i="16"/>
  <c r="F41" i="16"/>
  <c r="I11" i="16"/>
  <c r="I9" i="16"/>
  <c r="I37" i="16"/>
  <c r="I35" i="16"/>
  <c r="I31" i="16"/>
  <c r="I29" i="16"/>
  <c r="I25" i="16"/>
  <c r="I23" i="16"/>
  <c r="I19" i="16"/>
  <c r="I17" i="16"/>
  <c r="I12" i="16"/>
  <c r="I16" i="14"/>
  <c r="I10" i="24"/>
  <c r="D51" i="13"/>
  <c r="I27" i="13"/>
  <c r="I34" i="12"/>
  <c r="I16" i="12"/>
  <c r="F48" i="10"/>
  <c r="E48" i="10"/>
  <c r="I29" i="10"/>
  <c r="I20" i="10"/>
  <c r="I11" i="10"/>
  <c r="D48" i="10"/>
  <c r="I44" i="10"/>
  <c r="I38" i="10"/>
  <c r="I36" i="10"/>
  <c r="I27" i="10"/>
  <c r="I18" i="10"/>
  <c r="I9" i="10"/>
  <c r="I46" i="10"/>
  <c r="I40" i="10"/>
  <c r="I34" i="10"/>
  <c r="I32" i="10"/>
  <c r="I25" i="10"/>
  <c r="I23" i="10"/>
  <c r="I16" i="10"/>
  <c r="I14" i="10"/>
  <c r="I43" i="10"/>
  <c r="I30" i="10"/>
  <c r="I21" i="10"/>
  <c r="I12" i="10"/>
  <c r="I41" i="10"/>
  <c r="I28" i="20"/>
  <c r="I15" i="15"/>
  <c r="I17" i="14"/>
  <c r="I41" i="13"/>
  <c r="I36" i="12"/>
  <c r="I26" i="10"/>
  <c r="I23" i="8"/>
  <c r="I11" i="6"/>
  <c r="E51" i="13"/>
  <c r="I29" i="6"/>
  <c r="I11" i="12"/>
  <c r="I43" i="5"/>
  <c r="I26" i="5"/>
  <c r="I23" i="5"/>
  <c r="I20" i="5"/>
  <c r="I17" i="5"/>
  <c r="I14" i="5"/>
  <c r="I11" i="5"/>
  <c r="I46" i="5"/>
  <c r="I38" i="5"/>
  <c r="I44" i="5"/>
  <c r="I41" i="5"/>
  <c r="I27" i="5"/>
  <c r="I24" i="5"/>
  <c r="I21" i="5"/>
  <c r="I18" i="5"/>
  <c r="I15" i="5"/>
  <c r="I12" i="5"/>
  <c r="I47" i="5"/>
  <c r="I39" i="5"/>
  <c r="I36" i="5"/>
  <c r="I33" i="5"/>
  <c r="I30" i="5"/>
  <c r="I10" i="5"/>
  <c r="I29" i="5"/>
  <c r="I35" i="5"/>
  <c r="I32" i="5"/>
  <c r="I9" i="5"/>
  <c r="D40" i="15"/>
  <c r="C39" i="18"/>
  <c r="I23" i="12"/>
  <c r="E43" i="6"/>
  <c r="D43" i="6"/>
  <c r="F41" i="12"/>
  <c r="I12" i="8"/>
  <c r="F45" i="3"/>
</calcChain>
</file>

<file path=xl/sharedStrings.xml><?xml version="1.0" encoding="utf-8"?>
<sst xmlns="http://schemas.openxmlformats.org/spreadsheetml/2006/main" count="10098" uniqueCount="358">
  <si>
    <t>PRODUTTORE</t>
  </si>
  <si>
    <t>COMUNE DI AMARO</t>
  </si>
  <si>
    <t>PERIODO</t>
  </si>
  <si>
    <t>01/01/2025 - 31/12/2025</t>
  </si>
  <si>
    <t>ABITANTI</t>
  </si>
  <si>
    <t>KG/PERIODO</t>
  </si>
  <si>
    <t>GRUPPO RIFIUTI</t>
  </si>
  <si>
    <t>RIFIUTO</t>
  </si>
  <si>
    <t>DOMICILIARE</t>
  </si>
  <si>
    <t>STRADALE</t>
  </si>
  <si>
    <t>CDR</t>
  </si>
  <si>
    <t>ALTRO</t>
  </si>
  <si>
    <t>TOTALE</t>
  </si>
  <si>
    <t>KG/AB/PERIODO</t>
  </si>
  <si>
    <t>% TOTALE</t>
  </si>
  <si>
    <t>% SU 2024</t>
  </si>
  <si>
    <t>Rifiuti urbani differenziati</t>
  </si>
  <si>
    <t>080318 - Toner</t>
  </si>
  <si>
    <t>150101 - imballaggi in carta e cartone</t>
  </si>
  <si>
    <t>150106 - Multimateriale Plastica + lattine</t>
  </si>
  <si>
    <t>150107 - Imballaggi in vetro</t>
  </si>
  <si>
    <t>150111 - * Bombolette spray</t>
  </si>
  <si>
    <t>160103 - Pneumatici</t>
  </si>
  <si>
    <t>170904 - Inerti</t>
  </si>
  <si>
    <t>200101 - Carta e cartone</t>
  </si>
  <si>
    <t>200102 - Lastre di vetro</t>
  </si>
  <si>
    <t>200108 - Umido</t>
  </si>
  <si>
    <t>200110 - Abbigliamento</t>
  </si>
  <si>
    <t>200111 - Prodotti tessili</t>
  </si>
  <si>
    <t>200121 - * RAEE R5 (Lampade fluorescenti)</t>
  </si>
  <si>
    <t>200123 - * RAEE R1 (Frigoriferi)</t>
  </si>
  <si>
    <t>200125 - Oli vegetali</t>
  </si>
  <si>
    <t>200126 - * Oli pericolosi</t>
  </si>
  <si>
    <t>200127 - * Pitture e vernici pericolose</t>
  </si>
  <si>
    <t>200132 - Medicinali scaduti</t>
  </si>
  <si>
    <t>200133 - * Batterie al piombo</t>
  </si>
  <si>
    <t>200133 - * Pile portatili</t>
  </si>
  <si>
    <t>200135 - * RAEE R3 (TV e monitor)</t>
  </si>
  <si>
    <t>200136 - RAEE R2 (Lavatrici)</t>
  </si>
  <si>
    <t>200136 - RAEE R4 (Piccoli elettrodomestici)</t>
  </si>
  <si>
    <t>200138 - Legno</t>
  </si>
  <si>
    <t>200139 - Plastiche dure</t>
  </si>
  <si>
    <t>200140 - Metallo</t>
  </si>
  <si>
    <t>200199 - Capsule caffè</t>
  </si>
  <si>
    <t>200201 - Verde</t>
  </si>
  <si>
    <t>Rifiuti urbani non differenziati</t>
  </si>
  <si>
    <t>200301 - R.S.U. Secco residuo</t>
  </si>
  <si>
    <t>200307 - Ingombranti</t>
  </si>
  <si>
    <t>200303 - Residui della pulizia stradale</t>
  </si>
  <si>
    <t>Altri rifiuti urbani</t>
  </si>
  <si>
    <t>170603 - * Altri materiali isolanti</t>
  </si>
  <si>
    <t>170802 - Mater. da costruz. a base di gesso</t>
  </si>
  <si>
    <t>160216 - Toner</t>
  </si>
  <si>
    <t>* rifiuti pericolosi</t>
  </si>
  <si>
    <t>GRUPPO RIFIUTI (kg/periodo)</t>
  </si>
  <si>
    <t>RIFIUTI URBANI DIFFERENZIATI</t>
  </si>
  <si>
    <t>RIFIUTI URBANI NON DIFFERENZIATI</t>
  </si>
  <si>
    <t>ALTRI RIFIUTI URBANI</t>
  </si>
  <si>
    <t>PERCENTUALE RACCOLTA DIFFERENZIATA</t>
  </si>
  <si>
    <t>PERCENTUALE RACCOLTA DIFFERENZIATA (ARPA)</t>
  </si>
  <si>
    <t>2024 A&amp;T 2000</t>
  </si>
  <si>
    <t>LEGENDA</t>
  </si>
  <si>
    <t>'2024</t>
  </si>
  <si>
    <t>% RD calcolata secondo le linee guida ARPA</t>
  </si>
  <si>
    <t>% RD del Comune 
nell'anno 2025</t>
  </si>
  <si>
    <t>% RD del Comune 
nell'anno 2024</t>
  </si>
  <si>
    <t>% RD media del bacino 
di A&amp;T2000 nell'anno 2024</t>
  </si>
  <si>
    <t>PERCENTUALE RACCOLTA DIFFERENZIATA (A&amp;T 2000)</t>
  </si>
  <si>
    <t>% RD calcolata al netto degli scarti dei rifiuti raccolti</t>
  </si>
  <si>
    <t>DIFFERENZIALI PRINCIPALI PARAMETRI (kg/ab anno)</t>
  </si>
  <si>
    <t>COMUNE DI AMARO**</t>
  </si>
  <si>
    <t>A&amp;T 2000 **</t>
  </si>
  <si>
    <t>TARIC **</t>
  </si>
  <si>
    <t>PROIEZIONE ***</t>
  </si>
  <si>
    <t>SECCO RESIDUO</t>
  </si>
  <si>
    <t>ORGANICO</t>
  </si>
  <si>
    <t>RIF. DIFF.</t>
  </si>
  <si>
    <t>RIF. NON DIFF.</t>
  </si>
  <si>
    <t>COMUNE DI ________**</t>
  </si>
  <si>
    <t>media degli ultimi 5 anni del Comune diAMARO</t>
  </si>
  <si>
    <t>media degli ultimi 5 anni di tutti i Comuni del bacino di A&amp;T 2000</t>
  </si>
  <si>
    <t>media degli ultimi 5 anni dei Comuni dove si applica la TARIC</t>
  </si>
  <si>
    <t>Proiezione dei dati parziali sull'anno in corso</t>
  </si>
  <si>
    <t>COMUNE DI AMPEZZO</t>
  </si>
  <si>
    <t>COMUNE DI AMPEZZO**</t>
  </si>
  <si>
    <t>media degli ultimi 5 anni del Comune diAMPEZZO</t>
  </si>
  <si>
    <t>COMUNE DI ARTA TERME</t>
  </si>
  <si>
    <t>150110 - * Imballaggi per pitture e vernici</t>
  </si>
  <si>
    <t>170604 - Materiali isolanti</t>
  </si>
  <si>
    <t>COMUNE DI ARTA TERME**</t>
  </si>
  <si>
    <t>media degli ultimi 5 anni del Comune diARTA TERME</t>
  </si>
  <si>
    <t>COMUNE DI ARTEGNA</t>
  </si>
  <si>
    <t>150102 - Imballaggi in plastica</t>
  </si>
  <si>
    <t>COMUNE DI ARTEGNA**</t>
  </si>
  <si>
    <t>media degli ultimi 5 anni del Comune diARTEGNA</t>
  </si>
  <si>
    <t>COMUNE DI BASILIANO</t>
  </si>
  <si>
    <t>170301 - Miscele bituminose contenenti catrame di carbone</t>
  </si>
  <si>
    <t>160304 - Rifiuti inorganici</t>
  </si>
  <si>
    <t>160504 - Bombolette spray</t>
  </si>
  <si>
    <t>170101 - Cemento</t>
  </si>
  <si>
    <t>170204 - Vetro, plastica e legno pericolosi</t>
  </si>
  <si>
    <t>COMUNE DI BASILIANO**</t>
  </si>
  <si>
    <t>media degli ultimi 5 anni del Comune diBASILIANO</t>
  </si>
  <si>
    <t>COMUNE DI BERTIOLO</t>
  </si>
  <si>
    <t>COMUNE DI BERTIOLO**</t>
  </si>
  <si>
    <t>media degli ultimi 5 anni del Comune diBERTIOLO</t>
  </si>
  <si>
    <t>COMUNE DI BORDANO</t>
  </si>
  <si>
    <t>COMUNE DI BORDANO**</t>
  </si>
  <si>
    <t>media degli ultimi 5 anni del Comune diBORDANO</t>
  </si>
  <si>
    <t>COMUNE DI BUTTRIO</t>
  </si>
  <si>
    <t>COMUNE DI BUTTRIO**</t>
  </si>
  <si>
    <t>media degli ultimi 5 anni del Comune diBUTTRIO</t>
  </si>
  <si>
    <t>COMUNE DI CAMINO AL TAGLIAMENTO</t>
  </si>
  <si>
    <t>COMUNE DI CAMINO AL TAGLIAMENTO**</t>
  </si>
  <si>
    <t>media degli ultimi 5 anni del Comune diCAMINO AL TAGLIAMENTO</t>
  </si>
  <si>
    <t>COMUNE DI CAMPOFORMIDO</t>
  </si>
  <si>
    <t>200306 - Pulizia fognature</t>
  </si>
  <si>
    <t>170201 - LEgno</t>
  </si>
  <si>
    <t>COMUNE DI CAMPOFORMIDO**</t>
  </si>
  <si>
    <t>media degli ultimi 5 anni del Comune diCAMPOFORMIDO</t>
  </si>
  <si>
    <t>COMUNE DI CAVAZZO CARNICO</t>
  </si>
  <si>
    <t>200304 - fanghi</t>
  </si>
  <si>
    <t>COMUNE DI CAVAZZO CARNICO**</t>
  </si>
  <si>
    <t>media degli ultimi 5 anni del Comune diCAVAZZO CARNICO</t>
  </si>
  <si>
    <t>COMUNE DI CERCIVENTO</t>
  </si>
  <si>
    <t>COMUNE DI CERCIVENTO**</t>
  </si>
  <si>
    <t>media degli ultimi 5 anni del Comune diCERCIVENTO</t>
  </si>
  <si>
    <t>COMUNE DI CODROIPO</t>
  </si>
  <si>
    <t>170503 - Terre e rocce, contenenti sostanze pericolose</t>
  </si>
  <si>
    <t>160708 - rifiuti contenenti olio</t>
  </si>
  <si>
    <t>160305 - * Rifiuti organici pericolosi</t>
  </si>
  <si>
    <t>COMUNE DI CODROIPO**</t>
  </si>
  <si>
    <t>media degli ultimi 5 anni del Comune diCODROIPO</t>
  </si>
  <si>
    <t>COMUNE DI COLLOREDO DI MONTE ALBANO</t>
  </si>
  <si>
    <t>150104 - Imballaggi metallici (lattine)</t>
  </si>
  <si>
    <t>COMUNE DI COLLOREDO DI MONTE ALBANO**</t>
  </si>
  <si>
    <t>media degli ultimi 5 anni del Comune diCOLLOREDO DI MONTE ALBANO</t>
  </si>
  <si>
    <t>COMUNE DI COMEGLIANS</t>
  </si>
  <si>
    <t>COMUNE DI COMEGLIANS**</t>
  </si>
  <si>
    <t>media degli ultimi 5 anni del Comune diCOMEGLIANS</t>
  </si>
  <si>
    <t>COMUNE DI CORNO DI ROSAZZO</t>
  </si>
  <si>
    <t>COMUNE DI CORNO DI ROSAZZO**</t>
  </si>
  <si>
    <t>media degli ultimi 5 anni del Comune diCORNO DI ROSAZZO</t>
  </si>
  <si>
    <t>COMUNE DI COSEANO</t>
  </si>
  <si>
    <t>200203 - Altri rifiuti non compostabili</t>
  </si>
  <si>
    <t>130802 - Olio minerale</t>
  </si>
  <si>
    <t>200134 - * Pile portatili</t>
  </si>
  <si>
    <t>COMUNE DI COSEANO**</t>
  </si>
  <si>
    <t>media degli ultimi 5 anni del Comune diCOSEANO</t>
  </si>
  <si>
    <t>COMUNE DI DIGNANO</t>
  </si>
  <si>
    <t>COMUNE DI DIGNANO**</t>
  </si>
  <si>
    <t>media degli ultimi 5 anni del Comune diDIGNANO</t>
  </si>
  <si>
    <t>COMUNE DI DOGNA</t>
  </si>
  <si>
    <t>COMUNE DI DOGNA**</t>
  </si>
  <si>
    <t>media degli ultimi 5 anni del Comune diDOGNA</t>
  </si>
  <si>
    <t>COMUNE DI ENEMONZO</t>
  </si>
  <si>
    <t>190802 - Rifiuti dell'eliminazione della sabbia</t>
  </si>
  <si>
    <t>COMUNE DI ENEMONZO**</t>
  </si>
  <si>
    <t>media degli ultimi 5 anni del Comune diENEMONZO</t>
  </si>
  <si>
    <t>COMUNE DI FAGAGNA</t>
  </si>
  <si>
    <t>200137 - legno, contenente sostanze pericolose</t>
  </si>
  <si>
    <t>170203 - Plastica</t>
  </si>
  <si>
    <t>170107 - Inerti</t>
  </si>
  <si>
    <t>COMUNE DI FAGAGNA**</t>
  </si>
  <si>
    <t>media degli ultimi 5 anni del Comune diFAGAGNA</t>
  </si>
  <si>
    <t>COMUNE DI FLAIBANO</t>
  </si>
  <si>
    <t>COMUNE DI FLAIBANO**</t>
  </si>
  <si>
    <t>media degli ultimi 5 anni del Comune diFLAIBANO</t>
  </si>
  <si>
    <t>COMUNE DI FORGARIA NEL FRIULI</t>
  </si>
  <si>
    <t>170405 - Ferro e acciaio</t>
  </si>
  <si>
    <t>COMUNE DI FORGARIA NEL FRIULI**</t>
  </si>
  <si>
    <t>media degli ultimi 5 anni del Comune diFORGARIA NEL FRIULI</t>
  </si>
  <si>
    <t>COMUNE DI FORNI AVOLTRI</t>
  </si>
  <si>
    <t>130205 - scarti olio minerale</t>
  </si>
  <si>
    <t xml:space="preserve">160211 - Apparecchiature fuori uso, contenenti clorofluorocarburi, HCFC, HFC   </t>
  </si>
  <si>
    <t>160104 - Veicoli fuori uso</t>
  </si>
  <si>
    <t>COMUNE DI FORNI AVOLTRI**</t>
  </si>
  <si>
    <t>media degli ultimi 5 anni del Comune diFORNI AVOLTRI</t>
  </si>
  <si>
    <t>COMUNE DI FORNI DI SOPRA</t>
  </si>
  <si>
    <t>COMUNE DI FORNI DI SOPRA**</t>
  </si>
  <si>
    <t>media degli ultimi 5 anni del Comune diFORNI DI SOPRA</t>
  </si>
  <si>
    <t>COMUNE DI FORNI DI SOTTO</t>
  </si>
  <si>
    <t>COMUNE DI FORNI DI SOTTO**</t>
  </si>
  <si>
    <t>media degli ultimi 5 anni del Comune diFORNI DI SOTTO</t>
  </si>
  <si>
    <t>COMUNE DI GEMONA DEL FRIULI</t>
  </si>
  <si>
    <t>170406 - Stagno</t>
  </si>
  <si>
    <t>COMUNE DI GEMONA DEL FRIULI**</t>
  </si>
  <si>
    <t>media degli ultimi 5 anni del Comune diGEMONA DEL FRIULI</t>
  </si>
  <si>
    <t>COMUNE DI LAUCO</t>
  </si>
  <si>
    <t>COMUNE DI LAUCO**</t>
  </si>
  <si>
    <t>media degli ultimi 5 anni del Comune diLAUCO</t>
  </si>
  <si>
    <t>COMUNE DI LESTIZZA</t>
  </si>
  <si>
    <t>COMUNE DI LESTIZZA**</t>
  </si>
  <si>
    <t>media degli ultimi 5 anni del Comune diLESTIZZA</t>
  </si>
  <si>
    <t>COMUNE DI LUSEVERA</t>
  </si>
  <si>
    <t xml:space="preserve">170605 - Materiali costruzione con amianto       </t>
  </si>
  <si>
    <t>COMUNE DI LUSEVERA**</t>
  </si>
  <si>
    <t>media degli ultimi 5 anni del Comune diLUSEVERA</t>
  </si>
  <si>
    <t>COMUNE DI MAGNANO IN RIVIERA</t>
  </si>
  <si>
    <t>160213 - apparecchiature fuori uso, contenenti componenti pericolosi (2) diversi da quelli di cui alle voci 16 02 09 e 16 02 12</t>
  </si>
  <si>
    <t>COMUNE DI MAGNANO IN RIVIERA**</t>
  </si>
  <si>
    <t>media degli ultimi 5 anni del Comune diMAGNANO IN RIVIERA</t>
  </si>
  <si>
    <t>COMUNE DI MAJANO</t>
  </si>
  <si>
    <t>200129 - Detergenti contenenti sostanze pericolose</t>
  </si>
  <si>
    <t>COMUNE DI MAJANO**</t>
  </si>
  <si>
    <t>media degli ultimi 5 anni del Comune diMAJANO</t>
  </si>
  <si>
    <t>COMUNE DI MARTIGNACCO</t>
  </si>
  <si>
    <t>COMUNE DI MARTIGNACCO**</t>
  </si>
  <si>
    <t>media degli ultimi 5 anni del Comune diMARTIGNACCO</t>
  </si>
  <si>
    <t>COMUNE DI MOGGIO UDINESE</t>
  </si>
  <si>
    <t>COMUNE DI MOGGIO UDINESE**</t>
  </si>
  <si>
    <t>media degli ultimi 5 anni del Comune diMOGGIO UDINESE</t>
  </si>
  <si>
    <t>COMUNE DI MOIMACCO</t>
  </si>
  <si>
    <t>COMUNE DI MOIMACCO**</t>
  </si>
  <si>
    <t>media degli ultimi 5 anni del Comune diMOIMACCO</t>
  </si>
  <si>
    <t>COMUNE DI MONTENARS</t>
  </si>
  <si>
    <t>COMUNE DI MONTENARS**</t>
  </si>
  <si>
    <t>media degli ultimi 5 anni del Comune diMONTENARS</t>
  </si>
  <si>
    <t>COMUNE DI MORTEGLIANO</t>
  </si>
  <si>
    <t>150203 - assorbenti,mat.filtranti,stracci</t>
  </si>
  <si>
    <t>170504 - Terre e rocce</t>
  </si>
  <si>
    <t>COMUNE DI MORTEGLIANO**</t>
  </si>
  <si>
    <t>media degli ultimi 5 anni del Comune diMORTEGLIANO</t>
  </si>
  <si>
    <t>COMUNE DI MORUZZO</t>
  </si>
  <si>
    <t xml:space="preserve">160214 - APPARECCHIATURE FUORI USO, DIVERSE      </t>
  </si>
  <si>
    <t>COMUNE DI MORUZZO**</t>
  </si>
  <si>
    <t>media degli ultimi 5 anni del Comune diMORUZZO</t>
  </si>
  <si>
    <t>COMUNE DI NIMIS</t>
  </si>
  <si>
    <t>COMUNE DI NIMIS**</t>
  </si>
  <si>
    <t>media degli ultimi 5 anni del Comune diNIMIS</t>
  </si>
  <si>
    <t>COMUNE DI OSOPPO</t>
  </si>
  <si>
    <t>COMUNE DI OSOPPO**</t>
  </si>
  <si>
    <t>media degli ultimi 5 anni del Comune diOSOPPO</t>
  </si>
  <si>
    <t>COMUNE DI OVARO</t>
  </si>
  <si>
    <t>COMUNE DI OVARO**</t>
  </si>
  <si>
    <t>media degli ultimi 5 anni del Comune diOVARO</t>
  </si>
  <si>
    <t>COMUNE DI PAGNACCO</t>
  </si>
  <si>
    <t>COMUNE DI PAGNACCO**</t>
  </si>
  <si>
    <t>media degli ultimi 5 anni del Comune diPAGNACCO</t>
  </si>
  <si>
    <t>COMUNE DI PALUZZA</t>
  </si>
  <si>
    <t>COMUNE DI PALUZZA**</t>
  </si>
  <si>
    <t>media degli ultimi 5 anni del Comune diPALUZZA</t>
  </si>
  <si>
    <t>COMUNE DI PASIAN DI PRATO</t>
  </si>
  <si>
    <t>180103 - * Rifiuti sanitari</t>
  </si>
  <si>
    <t>160306 - Rifiuti organici diversi da quelli di cui alla voce 160305</t>
  </si>
  <si>
    <t>COMUNE DI PASIAN DI PRATO**</t>
  </si>
  <si>
    <t>media degli ultimi 5 anni del Comune diPASIAN DI PRATO</t>
  </si>
  <si>
    <t>COMUNE DI PAULARO</t>
  </si>
  <si>
    <t>COMUNE DI PAULARO**</t>
  </si>
  <si>
    <t>media degli ultimi 5 anni del Comune diPAULARO</t>
  </si>
  <si>
    <t>COMUNE DI PAVIA DI UDINE</t>
  </si>
  <si>
    <t>COMUNE DI PAVIA DI UDINE**</t>
  </si>
  <si>
    <t>media degli ultimi 5 anni del Comune diPAVIA DI UDINE</t>
  </si>
  <si>
    <t>COMUNE DI POZZUOLO DEL FRIULI</t>
  </si>
  <si>
    <t>170903 - * Altri rifiuti inerti</t>
  </si>
  <si>
    <t>COMUNE DI POZZUOLO DEL FRIULI**</t>
  </si>
  <si>
    <t>media degli ultimi 5 anni del Comune diPOZZUOLO DEL FRIULI</t>
  </si>
  <si>
    <t>COMUNE DI PRADAMANO</t>
  </si>
  <si>
    <t>COMUNE DI PRADAMANO**</t>
  </si>
  <si>
    <t>media degli ultimi 5 anni del Comune diPRADAMANO</t>
  </si>
  <si>
    <t>COMUNE DI PRATO CARNICO</t>
  </si>
  <si>
    <t>COMUNE DI PRATO CARNICO**</t>
  </si>
  <si>
    <t>media degli ultimi 5 anni del Comune diPRATO CARNICO</t>
  </si>
  <si>
    <t>COMUNE DI PREMARIACCO</t>
  </si>
  <si>
    <t>COMUNE DI PREMARIACCO**</t>
  </si>
  <si>
    <t>media degli ultimi 5 anni del Comune diPREMARIACCO</t>
  </si>
  <si>
    <t>COMUNE DI PREONE</t>
  </si>
  <si>
    <t>COMUNE DI PREONE**</t>
  </si>
  <si>
    <t>media degli ultimi 5 anni del Comune diPREONE</t>
  </si>
  <si>
    <t>COMUNE DI RAGOGNA</t>
  </si>
  <si>
    <t>COMUNE DI RAGOGNA**</t>
  </si>
  <si>
    <t>media degli ultimi 5 anni del Comune diRAGOGNA</t>
  </si>
  <si>
    <t>COMUNE DI RAVASCLETTO</t>
  </si>
  <si>
    <t>COMUNE DI RAVASCLETTO**</t>
  </si>
  <si>
    <t>media degli ultimi 5 anni del Comune diRAVASCLETTO</t>
  </si>
  <si>
    <t>COMUNE DI RAVEO</t>
  </si>
  <si>
    <t>COMUNE DI RAVEO**</t>
  </si>
  <si>
    <t>media degli ultimi 5 anni del Comune diRAVEO</t>
  </si>
  <si>
    <t>COMUNE DI REANA DEL ROJALE</t>
  </si>
  <si>
    <t>COMUNE DI REANA DEL ROJALE**</t>
  </si>
  <si>
    <t>media degli ultimi 5 anni del Comune diREANA DEL ROJALE</t>
  </si>
  <si>
    <t>COMUNE DI REMANZACCO</t>
  </si>
  <si>
    <t>COMUNE DI REMANZACCO**</t>
  </si>
  <si>
    <t>media degli ultimi 5 anni del Comune diREMANZACCO</t>
  </si>
  <si>
    <t>COMUNE DI RESIUTTA</t>
  </si>
  <si>
    <t>COMUNE DI RESIUTTA**</t>
  </si>
  <si>
    <t>media degli ultimi 5 anni del Comune diRESIUTTA</t>
  </si>
  <si>
    <t>COMUNE DI RIGOLATO</t>
  </si>
  <si>
    <t>COMUNE DI RIGOLATO**</t>
  </si>
  <si>
    <t>media degli ultimi 5 anni del Comune diRIGOLATO</t>
  </si>
  <si>
    <t>COMUNE DI RIVE D'ARCANO</t>
  </si>
  <si>
    <t>COMUNE DI RIVE D'ARCANO**</t>
  </si>
  <si>
    <t>media degli ultimi 5 anni del Comune diRIVE D'ARCANO</t>
  </si>
  <si>
    <t>COMUNE DI RIVIGNANO TEOR</t>
  </si>
  <si>
    <t>COMUNE DI RIVIGNANO TEOR**</t>
  </si>
  <si>
    <t>media degli ultimi 5 anni del Comune diRIVIGNANO TEOR</t>
  </si>
  <si>
    <t>COMUNE DI SAN DANIELE DEL FRIULI</t>
  </si>
  <si>
    <t>COMUNE DI SAN DANIELE DEL FRIULI**</t>
  </si>
  <si>
    <t>media degli ultimi 5 anni del Comune diSAN DANIELE DEL FRIULI</t>
  </si>
  <si>
    <t>COMUNE DI SAN DORLIGO DELLA VALLE - DOLINA</t>
  </si>
  <si>
    <t>COMUNE DI SAN DORLIGO DELLA VALLE - DOLINA**</t>
  </si>
  <si>
    <t>media degli ultimi 5 anni del Comune diSAN DORLIGO DELLA VALLE - DOLINA</t>
  </si>
  <si>
    <t>COMUNE DI SAN GIOVANNI AL NATISONE</t>
  </si>
  <si>
    <t>161002 - soluzioni acquose di scarto, diverse da quelle di cui alla voce 16 10 01</t>
  </si>
  <si>
    <t>160505 - Gas in contenitori a pressione</t>
  </si>
  <si>
    <t>COMUNE DI SAN GIOVANNI AL NATISONE**</t>
  </si>
  <si>
    <t>media degli ultimi 5 anni del Comune diSAN GIOVANNI AL NATISONE</t>
  </si>
  <si>
    <t>COMUNE DI SAN VITO DI FAGAGNA</t>
  </si>
  <si>
    <t>COMUNE DI SAN VITO DI FAGAGNA**</t>
  </si>
  <si>
    <t>media degli ultimi 5 anni del Comune diSAN VITO DI FAGAGNA</t>
  </si>
  <si>
    <t>COMUNE DI SAPPADA</t>
  </si>
  <si>
    <t>COMUNE DI SAPPADA**</t>
  </si>
  <si>
    <t>media degli ultimi 5 anni del Comune diSAPPADA</t>
  </si>
  <si>
    <t>COMUNE DI SAURIS</t>
  </si>
  <si>
    <t>COMUNE DI SAURIS**</t>
  </si>
  <si>
    <t>media degli ultimi 5 anni del Comune diSAURIS</t>
  </si>
  <si>
    <t>COMUNE DI SEDEGLIANO</t>
  </si>
  <si>
    <t>COMUNE DI SEDEGLIANO**</t>
  </si>
  <si>
    <t>media degli ultimi 5 anni del Comune diSEDEGLIANO</t>
  </si>
  <si>
    <t>COMUNE DI SOCCHIEVE</t>
  </si>
  <si>
    <t>COMUNE DI SOCCHIEVE**</t>
  </si>
  <si>
    <t>media degli ultimi 5 anni del Comune diSOCCHIEVE</t>
  </si>
  <si>
    <t>COMUNE DI SUTRIO</t>
  </si>
  <si>
    <t>COMUNE DI SUTRIO**</t>
  </si>
  <si>
    <t>media degli ultimi 5 anni del Comune diSUTRIO</t>
  </si>
  <si>
    <t>COMUNE DI TAIPANA</t>
  </si>
  <si>
    <t>COMUNE DI TAIPANA**</t>
  </si>
  <si>
    <t>media degli ultimi 5 anni del Comune diTAIPANA</t>
  </si>
  <si>
    <t>COMUNE DI TARCENTO</t>
  </si>
  <si>
    <t>COMUNE DI TARCENTO**</t>
  </si>
  <si>
    <t>media degli ultimi 5 anni del Comune diTARCENTO</t>
  </si>
  <si>
    <t>COMUNE DI TOLMEZZO</t>
  </si>
  <si>
    <t>COMUNE DI TOLMEZZO**</t>
  </si>
  <si>
    <t>media degli ultimi 5 anni del Comune diTOLMEZZO</t>
  </si>
  <si>
    <t>COMUNE DI TRASAGHIS</t>
  </si>
  <si>
    <t>COMUNE DI TRASAGHIS**</t>
  </si>
  <si>
    <t>media degli ultimi 5 anni del Comune diTRASAGHIS</t>
  </si>
  <si>
    <t>COMUNE DI TREPPO GRANDE</t>
  </si>
  <si>
    <t>COMUNE DI TREPPO GRANDE**</t>
  </si>
  <si>
    <t>media degli ultimi 5 anni del Comune diTREPPO GRANDE</t>
  </si>
  <si>
    <t>COMUNE DI TREPPO LIGOSULLO</t>
  </si>
  <si>
    <t>COMUNE DI TREPPO LIGOSULLO**</t>
  </si>
  <si>
    <t>media degli ultimi 5 anni del Comune diTREPPO LIGOSULLO</t>
  </si>
  <si>
    <t>COMUNE DI VARMO</t>
  </si>
  <si>
    <t>COMUNE DI VARMO**</t>
  </si>
  <si>
    <t>media degli ultimi 5 anni del Comune diVARMO</t>
  </si>
  <si>
    <t>COMUNE DI VENZONE</t>
  </si>
  <si>
    <t>COMUNE DI VENZONE**</t>
  </si>
  <si>
    <t>media degli ultimi 5 anni del Comune diVENZONE</t>
  </si>
  <si>
    <t>COMUNE DI VERZEGNIS</t>
  </si>
  <si>
    <t>COMUNE DI VERZEGNIS**</t>
  </si>
  <si>
    <t>media degli ultimi 5 anni del Comune diVERZEGNIS</t>
  </si>
  <si>
    <t>COMUNE DI VILLA SANTINA</t>
  </si>
  <si>
    <t>COMUNE DI VILLA SANTINA**</t>
  </si>
  <si>
    <t>media degli ultimi 5 anni del Comune diVILLA SANTINA</t>
  </si>
  <si>
    <t>COMUNE DI ZUGLIO</t>
  </si>
  <si>
    <t>COMUNE DI ZUGLIO**</t>
  </si>
  <si>
    <t>media degli ultimi 5 anni del Comune diZUGLIO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</si>
</sst>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"/>
    <numFmt numFmtId="165" formatCode="0.0%"/>
  </numFmts>
  <fonts count="5" x14ac:knownFonts="1">
    <font>
      <sz val="11"/>
      <color rgb="FF000000"/>
      <name val="Calibri"/>
    </font>
    <font>
      <b/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  <family val="2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164" fontId="0" fillId="0" borderId="1" xfId="0" applyNumberFormat="1" applyBorder="1"/>
    <xf numFmtId="164" fontId="1" fillId="0" borderId="1" xfId="0" applyNumberFormat="1" applyFont="1" applyBorder="1"/>
    <xf numFmtId="165" fontId="1" fillId="0" borderId="1" xfId="0" applyNumberFormat="1" applyFont="1" applyBorder="1"/>
    <xf numFmtId="165" fontId="0" fillId="0" borderId="1" xfId="0" applyNumberFormat="1" applyBorder="1"/>
    <xf numFmtId="0" fontId="0" fillId="0" borderId="0" xfId="0" applyAlignment="1">
      <alignment horizontal="right"/>
    </xf>
    <xf numFmtId="165" fontId="0" fillId="0" borderId="0" xfId="0" applyNumberFormat="1" applyAlignment="1">
      <alignment horizontal="right"/>
    </xf>
    <xf numFmtId="164" fontId="0" fillId="0" borderId="1" xfId="0" applyNumberForma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right"/>
    </xf>
    <xf numFmtId="165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165" fontId="1" fillId="0" borderId="0" xfId="0" applyNumberFormat="1" applyFont="1" applyAlignment="1">
      <alignment horizontal="right"/>
    </xf>
    <xf numFmtId="3" fontId="3" fillId="0" borderId="1" xfId="0" applyNumberFormat="1" applyFont="1" applyBorder="1"/>
    <xf numFmtId="3" fontId="4" fillId="0" borderId="1" xfId="0" applyNumberFormat="1" applyFont="1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right" wrapText="1"/>
    </xf>
    <xf numFmtId="165" fontId="0" fillId="0" borderId="1" xfId="0" applyNumberFormat="1" applyBorder="1" applyAlignment="1">
      <alignment horizontal="right"/>
    </xf>
    <xf numFmtId="0" fontId="1" fillId="0" borderId="1" xfId="0" applyFont="1" applyBorder="1"/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wrapText="1"/>
    </xf>
  </cellXfs>
  <cellStyles count="1">
    <cellStyle name="Normale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74"/>
  <sheetViews>
    <sheetView tabSelected="1" workbookViewId="0">
      <selection activeCell="H5" sqref="H5"/>
    </sheetView>
  </sheetViews>
  <sheetFormatPr defaultRowHeight="15" x14ac:dyDescent="0.25"/>
  <cols>
    <col min="1" max="1" width="28.42578125" bestFit="1" customWidth="1"/>
    <col min="2" max="2" width="59.5703125" bestFit="1" customWidth="1"/>
    <col min="3" max="3" width="12.7109375" bestFit="1" customWidth="1"/>
    <col min="4" max="4" width="21.42578125" bestFit="1" customWidth="1"/>
    <col min="5" max="5" width="13.85546875" bestFit="1" customWidth="1"/>
    <col min="6" max="6" width="8.5703125" bestFit="1" customWidth="1"/>
    <col min="7" max="7" width="47.7109375" bestFit="1" customWidth="1"/>
    <col min="8" max="9" width="16.7109375" bestFit="1" customWidth="1"/>
    <col min="10" max="10" width="24.42578125" bestFit="1" customWidth="1"/>
  </cols>
  <sheetData>
    <row r="2" spans="1:10" ht="18.75" x14ac:dyDescent="0.3">
      <c r="A2" s="3" t="s">
        <v>0</v>
      </c>
      <c r="B2" s="4" t="s">
        <v>1</v>
      </c>
    </row>
    <row r="3" spans="1:10" x14ac:dyDescent="0.25">
      <c r="A3" s="3" t="s">
        <v>2</v>
      </c>
      <c r="B3" s="1" t="s">
        <v>3</v>
      </c>
    </row>
    <row r="4" spans="1:10" x14ac:dyDescent="0.25">
      <c r="A4" s="3" t="s">
        <v>4</v>
      </c>
      <c r="B4" s="20">
        <v>846</v>
      </c>
    </row>
    <row r="7" spans="1:10" x14ac:dyDescent="0.25">
      <c r="C7" s="22" t="s">
        <v>5</v>
      </c>
      <c r="D7" s="21"/>
      <c r="E7" s="21"/>
      <c r="F7" s="21"/>
      <c r="G7" s="21"/>
    </row>
    <row r="8" spans="1:10" x14ac:dyDescent="0.25">
      <c r="A8" s="3" t="s">
        <v>6</v>
      </c>
      <c r="B8" s="3" t="s">
        <v>7</v>
      </c>
      <c r="C8" s="15" t="s">
        <v>8</v>
      </c>
      <c r="D8" s="15" t="s">
        <v>9</v>
      </c>
      <c r="E8" s="15" t="s">
        <v>10</v>
      </c>
      <c r="F8" s="15" t="s">
        <v>11</v>
      </c>
      <c r="G8" s="15" t="s">
        <v>12</v>
      </c>
      <c r="H8" s="15" t="s">
        <v>13</v>
      </c>
      <c r="I8" s="15" t="s">
        <v>14</v>
      </c>
      <c r="J8" s="15" t="s">
        <v>15</v>
      </c>
    </row>
    <row r="9" spans="1:10" x14ac:dyDescent="0.25">
      <c r="A9" s="1" t="s">
        <v>16</v>
      </c>
      <c r="B9" s="1" t="s">
        <v>17</v>
      </c>
      <c r="C9" s="11"/>
      <c r="D9" s="11"/>
      <c r="E9" s="11">
        <v>57</v>
      </c>
      <c r="F9" s="11"/>
      <c r="G9" s="11">
        <f t="shared" ref="G9:G42" si="0">SUM(C9:F9)</f>
        <v>57</v>
      </c>
      <c r="H9" s="17">
        <f t="shared" ref="H9:H42" si="1">ROUND(G9/846,2)</f>
        <v>7.0000000000000007E-2</v>
      </c>
      <c r="I9" s="16">
        <f t="shared" ref="I9:I42" si="2">ROUND(G9/$G$43,3)</f>
        <v>0</v>
      </c>
      <c r="J9" s="16">
        <f>ROUND(G9/29-1,2)</f>
        <v>0.97</v>
      </c>
    </row>
    <row r="10" spans="1:10" x14ac:dyDescent="0.25">
      <c r="A10" s="1" t="s">
        <v>16</v>
      </c>
      <c r="B10" s="1" t="s">
        <v>18</v>
      </c>
      <c r="C10" s="11"/>
      <c r="D10" s="11"/>
      <c r="E10" s="11">
        <v>1295</v>
      </c>
      <c r="F10" s="11"/>
      <c r="G10" s="11">
        <f t="shared" si="0"/>
        <v>1295</v>
      </c>
      <c r="H10" s="17">
        <f t="shared" si="1"/>
        <v>1.53</v>
      </c>
      <c r="I10" s="16">
        <f t="shared" si="2"/>
        <v>3.0000000000000001E-3</v>
      </c>
      <c r="J10" s="16">
        <f>ROUND(G10/3456-1,2)</f>
        <v>-0.63</v>
      </c>
    </row>
    <row r="11" spans="1:10" x14ac:dyDescent="0.25">
      <c r="A11" s="1" t="s">
        <v>16</v>
      </c>
      <c r="B11" s="1" t="s">
        <v>19</v>
      </c>
      <c r="C11" s="11">
        <v>38800</v>
      </c>
      <c r="D11" s="11"/>
      <c r="E11" s="11">
        <v>6129</v>
      </c>
      <c r="F11" s="11"/>
      <c r="G11" s="11">
        <f t="shared" si="0"/>
        <v>44929</v>
      </c>
      <c r="H11" s="17">
        <f t="shared" si="1"/>
        <v>53.11</v>
      </c>
      <c r="I11" s="16">
        <f t="shared" si="2"/>
        <v>9.9000000000000005E-2</v>
      </c>
      <c r="J11" s="16">
        <f>ROUND(G11/41250-1,2)</f>
        <v>0.09</v>
      </c>
    </row>
    <row r="12" spans="1:10" x14ac:dyDescent="0.25">
      <c r="A12" s="1" t="s">
        <v>16</v>
      </c>
      <c r="B12" s="1" t="s">
        <v>20</v>
      </c>
      <c r="C12" s="11">
        <v>33950</v>
      </c>
      <c r="D12" s="11">
        <v>1380</v>
      </c>
      <c r="E12" s="11">
        <v>2724</v>
      </c>
      <c r="F12" s="11"/>
      <c r="G12" s="11">
        <f t="shared" si="0"/>
        <v>38054</v>
      </c>
      <c r="H12" s="17">
        <f t="shared" si="1"/>
        <v>44.98</v>
      </c>
      <c r="I12" s="16">
        <f t="shared" si="2"/>
        <v>8.3000000000000004E-2</v>
      </c>
      <c r="J12" s="16">
        <f>ROUND(G12/34349-1,2)</f>
        <v>0.11</v>
      </c>
    </row>
    <row r="13" spans="1:10" x14ac:dyDescent="0.25">
      <c r="A13" s="1" t="s">
        <v>16</v>
      </c>
      <c r="B13" s="1" t="s">
        <v>21</v>
      </c>
      <c r="C13" s="11"/>
      <c r="D13" s="11"/>
      <c r="E13" s="11">
        <v>105</v>
      </c>
      <c r="F13" s="11"/>
      <c r="G13" s="11">
        <f t="shared" si="0"/>
        <v>105</v>
      </c>
      <c r="H13" s="17">
        <f t="shared" si="1"/>
        <v>0.12</v>
      </c>
      <c r="I13" s="16">
        <f t="shared" si="2"/>
        <v>0</v>
      </c>
      <c r="J13" s="16">
        <f>ROUND(G13/88-1,2)</f>
        <v>0.19</v>
      </c>
    </row>
    <row r="14" spans="1:10" x14ac:dyDescent="0.25">
      <c r="A14" s="1" t="s">
        <v>16</v>
      </c>
      <c r="B14" s="1" t="s">
        <v>22</v>
      </c>
      <c r="C14" s="11"/>
      <c r="D14" s="11"/>
      <c r="E14" s="11">
        <v>355</v>
      </c>
      <c r="F14" s="11"/>
      <c r="G14" s="11">
        <f t="shared" si="0"/>
        <v>355</v>
      </c>
      <c r="H14" s="17">
        <f t="shared" si="1"/>
        <v>0.42</v>
      </c>
      <c r="I14" s="16">
        <f t="shared" si="2"/>
        <v>1E-3</v>
      </c>
      <c r="J14" s="16">
        <f>ROUND(G14/803-1,2)</f>
        <v>-0.56000000000000005</v>
      </c>
    </row>
    <row r="15" spans="1:10" x14ac:dyDescent="0.25">
      <c r="A15" s="1" t="s">
        <v>16</v>
      </c>
      <c r="B15" s="1" t="s">
        <v>23</v>
      </c>
      <c r="C15" s="11"/>
      <c r="D15" s="11"/>
      <c r="E15" s="11">
        <v>50051</v>
      </c>
      <c r="F15" s="11"/>
      <c r="G15" s="11">
        <f t="shared" si="0"/>
        <v>50051</v>
      </c>
      <c r="H15" s="17">
        <f t="shared" si="1"/>
        <v>59.16</v>
      </c>
      <c r="I15" s="16">
        <f t="shared" si="2"/>
        <v>0.11</v>
      </c>
      <c r="J15" s="16">
        <f>ROUND(G15/57395-1,2)</f>
        <v>-0.13</v>
      </c>
    </row>
    <row r="16" spans="1:10" x14ac:dyDescent="0.25">
      <c r="A16" s="1" t="s">
        <v>16</v>
      </c>
      <c r="B16" s="1" t="s">
        <v>24</v>
      </c>
      <c r="C16" s="11">
        <v>43800</v>
      </c>
      <c r="D16" s="11"/>
      <c r="E16" s="11">
        <v>13951</v>
      </c>
      <c r="F16" s="11"/>
      <c r="G16" s="11">
        <f t="shared" si="0"/>
        <v>57751</v>
      </c>
      <c r="H16" s="17">
        <f t="shared" si="1"/>
        <v>68.260000000000005</v>
      </c>
      <c r="I16" s="16">
        <f t="shared" si="2"/>
        <v>0.127</v>
      </c>
      <c r="J16" s="16">
        <f>ROUND(G16/58390-1,2)</f>
        <v>-0.01</v>
      </c>
    </row>
    <row r="17" spans="1:10" x14ac:dyDescent="0.25">
      <c r="A17" s="1" t="s">
        <v>16</v>
      </c>
      <c r="B17" s="1" t="s">
        <v>25</v>
      </c>
      <c r="C17" s="11"/>
      <c r="D17" s="11"/>
      <c r="E17" s="11">
        <v>1167</v>
      </c>
      <c r="F17" s="11"/>
      <c r="G17" s="11">
        <f t="shared" si="0"/>
        <v>1167</v>
      </c>
      <c r="H17" s="17">
        <f t="shared" si="1"/>
        <v>1.38</v>
      </c>
      <c r="I17" s="16">
        <f t="shared" si="2"/>
        <v>3.0000000000000001E-3</v>
      </c>
      <c r="J17" s="16">
        <f>ROUND(G17/2843-1,2)</f>
        <v>-0.59</v>
      </c>
    </row>
    <row r="18" spans="1:10" x14ac:dyDescent="0.25">
      <c r="A18" s="1" t="s">
        <v>16</v>
      </c>
      <c r="B18" s="1" t="s">
        <v>26</v>
      </c>
      <c r="C18" s="11">
        <v>42120</v>
      </c>
      <c r="D18" s="11"/>
      <c r="E18" s="11"/>
      <c r="F18" s="11"/>
      <c r="G18" s="11">
        <f t="shared" si="0"/>
        <v>42120</v>
      </c>
      <c r="H18" s="17">
        <f t="shared" si="1"/>
        <v>49.79</v>
      </c>
      <c r="I18" s="16">
        <f t="shared" si="2"/>
        <v>9.1999999999999998E-2</v>
      </c>
      <c r="J18" s="16">
        <f>ROUND(G18/44370-1,2)</f>
        <v>-0.05</v>
      </c>
    </row>
    <row r="19" spans="1:10" x14ac:dyDescent="0.25">
      <c r="A19" s="1" t="s">
        <v>16</v>
      </c>
      <c r="B19" s="1" t="s">
        <v>27</v>
      </c>
      <c r="C19" s="11"/>
      <c r="D19" s="11"/>
      <c r="E19" s="11">
        <v>510</v>
      </c>
      <c r="F19" s="11"/>
      <c r="G19" s="11">
        <f t="shared" si="0"/>
        <v>510</v>
      </c>
      <c r="H19" s="17">
        <f t="shared" si="1"/>
        <v>0.6</v>
      </c>
      <c r="I19" s="16">
        <f t="shared" si="2"/>
        <v>1E-3</v>
      </c>
      <c r="J19" s="16">
        <f>ROUND(G19/498-1,2)</f>
        <v>0.02</v>
      </c>
    </row>
    <row r="20" spans="1:10" x14ac:dyDescent="0.25">
      <c r="A20" s="1" t="s">
        <v>16</v>
      </c>
      <c r="B20" s="1" t="s">
        <v>28</v>
      </c>
      <c r="C20" s="11"/>
      <c r="D20" s="11"/>
      <c r="E20" s="11">
        <v>679</v>
      </c>
      <c r="F20" s="11"/>
      <c r="G20" s="11">
        <f t="shared" si="0"/>
        <v>679</v>
      </c>
      <c r="H20" s="17">
        <f t="shared" si="1"/>
        <v>0.8</v>
      </c>
      <c r="I20" s="16">
        <f t="shared" si="2"/>
        <v>1E-3</v>
      </c>
      <c r="J20" s="16">
        <f>ROUND(G20/262-1,2)</f>
        <v>1.59</v>
      </c>
    </row>
    <row r="21" spans="1:10" x14ac:dyDescent="0.25">
      <c r="A21" s="1" t="s">
        <v>16</v>
      </c>
      <c r="B21" s="1" t="s">
        <v>29</v>
      </c>
      <c r="C21" s="11"/>
      <c r="D21" s="11"/>
      <c r="E21" s="11">
        <v>47</v>
      </c>
      <c r="F21" s="11"/>
      <c r="G21" s="11">
        <f t="shared" si="0"/>
        <v>47</v>
      </c>
      <c r="H21" s="17">
        <f t="shared" si="1"/>
        <v>0.06</v>
      </c>
      <c r="I21" s="16">
        <f t="shared" si="2"/>
        <v>0</v>
      </c>
      <c r="J21" s="16">
        <f>ROUND(G21/40-1,2)</f>
        <v>0.18</v>
      </c>
    </row>
    <row r="22" spans="1:10" x14ac:dyDescent="0.25">
      <c r="A22" s="1" t="s">
        <v>16</v>
      </c>
      <c r="B22" s="1" t="s">
        <v>30</v>
      </c>
      <c r="C22" s="11"/>
      <c r="D22" s="11"/>
      <c r="E22" s="11">
        <v>1298</v>
      </c>
      <c r="F22" s="11"/>
      <c r="G22" s="11">
        <f t="shared" si="0"/>
        <v>1298</v>
      </c>
      <c r="H22" s="17">
        <f t="shared" si="1"/>
        <v>1.53</v>
      </c>
      <c r="I22" s="16">
        <f t="shared" si="2"/>
        <v>3.0000000000000001E-3</v>
      </c>
      <c r="J22" s="16">
        <f>ROUND(G22/1354-1,2)</f>
        <v>-0.04</v>
      </c>
    </row>
    <row r="23" spans="1:10" x14ac:dyDescent="0.25">
      <c r="A23" s="1" t="s">
        <v>16</v>
      </c>
      <c r="B23" s="1" t="s">
        <v>31</v>
      </c>
      <c r="C23" s="11"/>
      <c r="D23" s="11"/>
      <c r="E23" s="11">
        <v>326</v>
      </c>
      <c r="F23" s="11"/>
      <c r="G23" s="11">
        <f t="shared" si="0"/>
        <v>326</v>
      </c>
      <c r="H23" s="17">
        <f t="shared" si="1"/>
        <v>0.39</v>
      </c>
      <c r="I23" s="16">
        <f t="shared" si="2"/>
        <v>1E-3</v>
      </c>
      <c r="J23" s="16">
        <f>ROUND(G23/578-1,2)</f>
        <v>-0.44</v>
      </c>
    </row>
    <row r="24" spans="1:10" x14ac:dyDescent="0.25">
      <c r="A24" s="1" t="s">
        <v>16</v>
      </c>
      <c r="B24" s="1" t="s">
        <v>32</v>
      </c>
      <c r="C24" s="11"/>
      <c r="D24" s="11"/>
      <c r="E24" s="11">
        <v>160</v>
      </c>
      <c r="F24" s="11"/>
      <c r="G24" s="11">
        <f t="shared" si="0"/>
        <v>160</v>
      </c>
      <c r="H24" s="17">
        <f t="shared" si="1"/>
        <v>0.19</v>
      </c>
      <c r="I24" s="16">
        <f t="shared" si="2"/>
        <v>0</v>
      </c>
      <c r="J24" s="16">
        <f>ROUND(G24/128-1,2)</f>
        <v>0.25</v>
      </c>
    </row>
    <row r="25" spans="1:10" x14ac:dyDescent="0.25">
      <c r="A25" s="1" t="s">
        <v>16</v>
      </c>
      <c r="B25" s="1" t="s">
        <v>33</v>
      </c>
      <c r="C25" s="11"/>
      <c r="D25" s="11"/>
      <c r="E25" s="11">
        <v>772</v>
      </c>
      <c r="F25" s="11"/>
      <c r="G25" s="11">
        <f t="shared" si="0"/>
        <v>772</v>
      </c>
      <c r="H25" s="17">
        <f t="shared" si="1"/>
        <v>0.91</v>
      </c>
      <c r="I25" s="16">
        <f t="shared" si="2"/>
        <v>2E-3</v>
      </c>
      <c r="J25" s="16">
        <f>ROUND(G25/423-1,2)</f>
        <v>0.83</v>
      </c>
    </row>
    <row r="26" spans="1:10" x14ac:dyDescent="0.25">
      <c r="A26" s="1" t="s">
        <v>16</v>
      </c>
      <c r="B26" s="1" t="s">
        <v>34</v>
      </c>
      <c r="C26" s="11"/>
      <c r="D26" s="11"/>
      <c r="E26" s="11">
        <v>41</v>
      </c>
      <c r="F26" s="11"/>
      <c r="G26" s="11">
        <f t="shared" si="0"/>
        <v>41</v>
      </c>
      <c r="H26" s="17">
        <f t="shared" si="1"/>
        <v>0.05</v>
      </c>
      <c r="I26" s="16">
        <f t="shared" si="2"/>
        <v>0</v>
      </c>
      <c r="J26" s="16">
        <f>ROUND(G26/139-1,2)</f>
        <v>-0.71</v>
      </c>
    </row>
    <row r="27" spans="1:10" x14ac:dyDescent="0.25">
      <c r="A27" s="1" t="s">
        <v>16</v>
      </c>
      <c r="B27" s="1" t="s">
        <v>35</v>
      </c>
      <c r="C27" s="11"/>
      <c r="D27" s="11"/>
      <c r="E27" s="11">
        <v>743</v>
      </c>
      <c r="F27" s="11"/>
      <c r="G27" s="11">
        <f t="shared" si="0"/>
        <v>743</v>
      </c>
      <c r="H27" s="17">
        <f t="shared" si="1"/>
        <v>0.88</v>
      </c>
      <c r="I27" s="16">
        <f t="shared" si="2"/>
        <v>2E-3</v>
      </c>
      <c r="J27" s="16">
        <f>ROUND(G27/545-1,2)</f>
        <v>0.36</v>
      </c>
    </row>
    <row r="28" spans="1:10" x14ac:dyDescent="0.25">
      <c r="A28" s="1" t="s">
        <v>16</v>
      </c>
      <c r="B28" s="1" t="s">
        <v>36</v>
      </c>
      <c r="C28" s="11"/>
      <c r="D28" s="11"/>
      <c r="E28" s="11">
        <v>54</v>
      </c>
      <c r="F28" s="11"/>
      <c r="G28" s="11">
        <f t="shared" si="0"/>
        <v>54</v>
      </c>
      <c r="H28" s="17">
        <f t="shared" si="1"/>
        <v>0.06</v>
      </c>
      <c r="I28" s="16">
        <f t="shared" si="2"/>
        <v>0</v>
      </c>
      <c r="J28" s="16">
        <f>ROUND(G28/222-1,2)</f>
        <v>-0.76</v>
      </c>
    </row>
    <row r="29" spans="1:10" x14ac:dyDescent="0.25">
      <c r="A29" s="1" t="s">
        <v>16</v>
      </c>
      <c r="B29" s="1" t="s">
        <v>37</v>
      </c>
      <c r="C29" s="11"/>
      <c r="D29" s="11"/>
      <c r="E29" s="11">
        <v>715</v>
      </c>
      <c r="F29" s="11"/>
      <c r="G29" s="11">
        <f t="shared" si="0"/>
        <v>715</v>
      </c>
      <c r="H29" s="17">
        <f t="shared" si="1"/>
        <v>0.85</v>
      </c>
      <c r="I29" s="16">
        <f t="shared" si="2"/>
        <v>2E-3</v>
      </c>
      <c r="J29" s="16">
        <f>ROUND(G29/970-1,2)</f>
        <v>-0.26</v>
      </c>
    </row>
    <row r="30" spans="1:10" x14ac:dyDescent="0.25">
      <c r="A30" s="1" t="s">
        <v>16</v>
      </c>
      <c r="B30" s="1" t="s">
        <v>38</v>
      </c>
      <c r="C30" s="11"/>
      <c r="D30" s="11"/>
      <c r="E30" s="11">
        <v>2948</v>
      </c>
      <c r="F30" s="11"/>
      <c r="G30" s="11">
        <f t="shared" si="0"/>
        <v>2948</v>
      </c>
      <c r="H30" s="17">
        <f t="shared" si="1"/>
        <v>3.48</v>
      </c>
      <c r="I30" s="16">
        <f t="shared" si="2"/>
        <v>6.0000000000000001E-3</v>
      </c>
      <c r="J30" s="16">
        <f>ROUND(G30/4748-1,2)</f>
        <v>-0.38</v>
      </c>
    </row>
    <row r="31" spans="1:10" x14ac:dyDescent="0.25">
      <c r="A31" s="1" t="s">
        <v>16</v>
      </c>
      <c r="B31" s="1" t="s">
        <v>39</v>
      </c>
      <c r="C31" s="11"/>
      <c r="D31" s="11"/>
      <c r="E31" s="11">
        <v>4539</v>
      </c>
      <c r="F31" s="11"/>
      <c r="G31" s="11">
        <f t="shared" si="0"/>
        <v>4539</v>
      </c>
      <c r="H31" s="17">
        <f t="shared" si="1"/>
        <v>5.37</v>
      </c>
      <c r="I31" s="16">
        <f t="shared" si="2"/>
        <v>0.01</v>
      </c>
      <c r="J31" s="16">
        <f>ROUND(G31/4169-1,2)</f>
        <v>0.09</v>
      </c>
    </row>
    <row r="32" spans="1:10" x14ac:dyDescent="0.25">
      <c r="A32" s="1" t="s">
        <v>16</v>
      </c>
      <c r="B32" s="1" t="s">
        <v>40</v>
      </c>
      <c r="C32" s="11"/>
      <c r="D32" s="11"/>
      <c r="E32" s="11">
        <v>42867</v>
      </c>
      <c r="F32" s="11"/>
      <c r="G32" s="11">
        <f t="shared" si="0"/>
        <v>42867</v>
      </c>
      <c r="H32" s="17">
        <f t="shared" si="1"/>
        <v>50.67</v>
      </c>
      <c r="I32" s="16">
        <f t="shared" si="2"/>
        <v>9.4E-2</v>
      </c>
      <c r="J32" s="16">
        <f>ROUND(G32/46400-1,2)</f>
        <v>-0.08</v>
      </c>
    </row>
    <row r="33" spans="1:10" x14ac:dyDescent="0.25">
      <c r="A33" s="1" t="s">
        <v>16</v>
      </c>
      <c r="B33" s="1" t="s">
        <v>41</v>
      </c>
      <c r="C33" s="11"/>
      <c r="D33" s="11"/>
      <c r="E33" s="11">
        <v>2550</v>
      </c>
      <c r="F33" s="11"/>
      <c r="G33" s="11">
        <f t="shared" si="0"/>
        <v>2550</v>
      </c>
      <c r="H33" s="17">
        <f t="shared" si="1"/>
        <v>3.01</v>
      </c>
      <c r="I33" s="16">
        <f t="shared" si="2"/>
        <v>6.0000000000000001E-3</v>
      </c>
      <c r="J33" s="16">
        <f>ROUND(G33/2540-1,2)</f>
        <v>0</v>
      </c>
    </row>
    <row r="34" spans="1:10" x14ac:dyDescent="0.25">
      <c r="A34" s="1" t="s">
        <v>16</v>
      </c>
      <c r="B34" s="1" t="s">
        <v>42</v>
      </c>
      <c r="C34" s="11"/>
      <c r="D34" s="11"/>
      <c r="E34" s="11">
        <v>15390</v>
      </c>
      <c r="F34" s="11"/>
      <c r="G34" s="11">
        <f t="shared" si="0"/>
        <v>15390</v>
      </c>
      <c r="H34" s="17">
        <f t="shared" si="1"/>
        <v>18.190000000000001</v>
      </c>
      <c r="I34" s="16">
        <f t="shared" si="2"/>
        <v>3.4000000000000002E-2</v>
      </c>
      <c r="J34" s="16">
        <f>ROUND(G34/13263-1,2)</f>
        <v>0.16</v>
      </c>
    </row>
    <row r="35" spans="1:10" x14ac:dyDescent="0.25">
      <c r="A35" s="1" t="s">
        <v>16</v>
      </c>
      <c r="B35" s="1" t="s">
        <v>43</v>
      </c>
      <c r="C35" s="11"/>
      <c r="D35" s="11"/>
      <c r="E35" s="11">
        <v>16</v>
      </c>
      <c r="F35" s="11"/>
      <c r="G35" s="11">
        <f t="shared" si="0"/>
        <v>16</v>
      </c>
      <c r="H35" s="17">
        <f t="shared" si="1"/>
        <v>0.02</v>
      </c>
      <c r="I35" s="16">
        <f t="shared" si="2"/>
        <v>0</v>
      </c>
      <c r="J35" s="16"/>
    </row>
    <row r="36" spans="1:10" x14ac:dyDescent="0.25">
      <c r="A36" s="1" t="s">
        <v>16</v>
      </c>
      <c r="B36" s="1" t="s">
        <v>44</v>
      </c>
      <c r="C36" s="11"/>
      <c r="D36" s="11"/>
      <c r="E36" s="11">
        <v>33718</v>
      </c>
      <c r="F36" s="11"/>
      <c r="G36" s="11">
        <f t="shared" si="0"/>
        <v>33718</v>
      </c>
      <c r="H36" s="17">
        <f t="shared" si="1"/>
        <v>39.86</v>
      </c>
      <c r="I36" s="16">
        <f t="shared" si="2"/>
        <v>7.3999999999999996E-2</v>
      </c>
      <c r="J36" s="16">
        <f>ROUND(G36/30839-1,2)</f>
        <v>0.09</v>
      </c>
    </row>
    <row r="37" spans="1:10" x14ac:dyDescent="0.25">
      <c r="A37" s="1" t="s">
        <v>45</v>
      </c>
      <c r="B37" s="1" t="s">
        <v>46</v>
      </c>
      <c r="C37" s="11">
        <v>78970</v>
      </c>
      <c r="D37" s="11"/>
      <c r="E37" s="11"/>
      <c r="F37" s="11"/>
      <c r="G37" s="11">
        <f t="shared" si="0"/>
        <v>78970</v>
      </c>
      <c r="H37" s="17">
        <f t="shared" si="1"/>
        <v>93.35</v>
      </c>
      <c r="I37" s="16">
        <f t="shared" si="2"/>
        <v>0.17299999999999999</v>
      </c>
      <c r="J37" s="16">
        <f>ROUND(G37/84850-1,2)</f>
        <v>-7.0000000000000007E-2</v>
      </c>
    </row>
    <row r="38" spans="1:10" x14ac:dyDescent="0.25">
      <c r="A38" s="1" t="s">
        <v>45</v>
      </c>
      <c r="B38" s="1" t="s">
        <v>47</v>
      </c>
      <c r="C38" s="11"/>
      <c r="D38" s="11"/>
      <c r="E38" s="11">
        <v>33701</v>
      </c>
      <c r="F38" s="11"/>
      <c r="G38" s="11">
        <f t="shared" si="0"/>
        <v>33701</v>
      </c>
      <c r="H38" s="17">
        <f t="shared" si="1"/>
        <v>39.840000000000003</v>
      </c>
      <c r="I38" s="16">
        <f t="shared" si="2"/>
        <v>7.3999999999999996E-2</v>
      </c>
      <c r="J38" s="16">
        <f>ROUND(G38/35080-1,2)</f>
        <v>-0.04</v>
      </c>
    </row>
    <row r="39" spans="1:10" x14ac:dyDescent="0.25">
      <c r="A39" s="1" t="s">
        <v>45</v>
      </c>
      <c r="B39" s="1" t="s">
        <v>48</v>
      </c>
      <c r="C39" s="11"/>
      <c r="D39" s="11"/>
      <c r="E39" s="11"/>
      <c r="F39" s="11"/>
      <c r="G39" s="11">
        <f t="shared" si="0"/>
        <v>0</v>
      </c>
      <c r="H39" s="17">
        <f t="shared" si="1"/>
        <v>0</v>
      </c>
      <c r="I39" s="16">
        <f t="shared" si="2"/>
        <v>0</v>
      </c>
      <c r="J39" s="16"/>
    </row>
    <row r="40" spans="1:10" x14ac:dyDescent="0.25">
      <c r="A40" s="1" t="s">
        <v>49</v>
      </c>
      <c r="B40" s="1" t="s">
        <v>50</v>
      </c>
      <c r="C40" s="11"/>
      <c r="D40" s="11"/>
      <c r="E40" s="11"/>
      <c r="F40" s="11"/>
      <c r="G40" s="11">
        <f t="shared" si="0"/>
        <v>0</v>
      </c>
      <c r="H40" s="17">
        <f t="shared" si="1"/>
        <v>0</v>
      </c>
      <c r="I40" s="16">
        <f t="shared" si="2"/>
        <v>0</v>
      </c>
      <c r="J40" s="16"/>
    </row>
    <row r="41" spans="1:10" x14ac:dyDescent="0.25">
      <c r="A41" s="1" t="s">
        <v>49</v>
      </c>
      <c r="B41" s="1" t="s">
        <v>51</v>
      </c>
      <c r="C41" s="11"/>
      <c r="D41" s="11"/>
      <c r="E41" s="11"/>
      <c r="F41" s="11"/>
      <c r="G41" s="11">
        <f t="shared" si="0"/>
        <v>0</v>
      </c>
      <c r="H41" s="17">
        <f t="shared" si="1"/>
        <v>0</v>
      </c>
      <c r="I41" s="16">
        <f t="shared" si="2"/>
        <v>0</v>
      </c>
      <c r="J41" s="16"/>
    </row>
    <row r="42" spans="1:10" x14ac:dyDescent="0.25">
      <c r="A42" s="1" t="s">
        <v>49</v>
      </c>
      <c r="B42" s="1" t="s">
        <v>52</v>
      </c>
      <c r="C42" s="11"/>
      <c r="D42" s="11"/>
      <c r="E42" s="11"/>
      <c r="F42" s="11"/>
      <c r="G42" s="11">
        <f t="shared" si="0"/>
        <v>0</v>
      </c>
      <c r="H42" s="17">
        <f t="shared" si="1"/>
        <v>0</v>
      </c>
      <c r="I42" s="16">
        <f t="shared" si="2"/>
        <v>0</v>
      </c>
      <c r="J42" s="16"/>
    </row>
    <row r="43" spans="1:10" x14ac:dyDescent="0.25">
      <c r="A43" s="26" t="s">
        <v>12</v>
      </c>
      <c r="B43" s="26"/>
      <c r="C43" s="12">
        <f t="shared" ref="C43:H43" si="3">SUM(C8:C42)</f>
        <v>237640</v>
      </c>
      <c r="D43" s="12">
        <f t="shared" si="3"/>
        <v>1380</v>
      </c>
      <c r="E43" s="12">
        <f t="shared" si="3"/>
        <v>216908</v>
      </c>
      <c r="F43" s="12">
        <f t="shared" si="3"/>
        <v>0</v>
      </c>
      <c r="G43" s="12">
        <f t="shared" si="3"/>
        <v>455928</v>
      </c>
      <c r="H43" s="15">
        <f t="shared" si="3"/>
        <v>538.93000000000006</v>
      </c>
      <c r="I43" s="18"/>
      <c r="J43" s="18"/>
    </row>
    <row r="44" spans="1:10" x14ac:dyDescent="0.25">
      <c r="A44" s="26" t="s">
        <v>14</v>
      </c>
      <c r="B44" s="26"/>
      <c r="C44" s="13">
        <f>ROUND(C43/G43,2)</f>
        <v>0.52</v>
      </c>
      <c r="D44" s="13">
        <f>ROUND(D43/G43,2)</f>
        <v>0</v>
      </c>
      <c r="E44" s="13">
        <f>ROUND(E43/G43,2)</f>
        <v>0.48</v>
      </c>
      <c r="F44" s="13">
        <f>ROUND(F43/G43,2)</f>
        <v>0</v>
      </c>
      <c r="G44" s="14"/>
      <c r="H44" s="14"/>
      <c r="I44" s="18"/>
      <c r="J44" s="18"/>
    </row>
    <row r="45" spans="1:10" x14ac:dyDescent="0.25">
      <c r="A45" s="2" t="s">
        <v>53</v>
      </c>
      <c r="B45" s="2"/>
      <c r="C45" s="14"/>
      <c r="D45" s="14"/>
      <c r="E45" s="14"/>
      <c r="F45" s="14"/>
      <c r="G45" s="14"/>
      <c r="H45" s="14"/>
      <c r="I45" s="18"/>
      <c r="J45" s="18"/>
    </row>
    <row r="46" spans="1:10" x14ac:dyDescent="0.25">
      <c r="C46" s="9"/>
      <c r="D46" s="9"/>
      <c r="E46" s="9"/>
      <c r="F46" s="9"/>
      <c r="G46" s="9"/>
      <c r="H46" s="9"/>
      <c r="I46" s="10"/>
      <c r="J46" s="10"/>
    </row>
    <row r="47" spans="1:10" x14ac:dyDescent="0.25">
      <c r="C47" s="9"/>
      <c r="D47" s="9"/>
      <c r="E47" s="9"/>
      <c r="F47" s="9"/>
      <c r="G47" s="9"/>
      <c r="H47" s="9"/>
      <c r="I47" s="10"/>
      <c r="J47" s="10"/>
    </row>
    <row r="48" spans="1:10" x14ac:dyDescent="0.25">
      <c r="C48" s="9"/>
      <c r="D48" s="9"/>
      <c r="E48" s="9"/>
      <c r="F48" s="9"/>
      <c r="G48" s="9"/>
      <c r="H48" s="9"/>
      <c r="I48" s="10"/>
      <c r="J48" s="10"/>
    </row>
    <row r="49" spans="1:10" x14ac:dyDescent="0.25">
      <c r="A49" s="26" t="s">
        <v>54</v>
      </c>
      <c r="B49" s="26"/>
      <c r="C49" s="12" t="s">
        <v>8</v>
      </c>
      <c r="D49" s="12" t="s">
        <v>9</v>
      </c>
      <c r="E49" s="12" t="s">
        <v>10</v>
      </c>
      <c r="F49" s="12" t="s">
        <v>11</v>
      </c>
      <c r="G49" s="12" t="s">
        <v>12</v>
      </c>
      <c r="H49" s="15" t="s">
        <v>13</v>
      </c>
      <c r="I49" s="18"/>
      <c r="J49" s="18"/>
    </row>
    <row r="50" spans="1:10" x14ac:dyDescent="0.25">
      <c r="A50" s="21" t="s">
        <v>55</v>
      </c>
      <c r="B50" s="21"/>
      <c r="C50" s="11">
        <v>158670</v>
      </c>
      <c r="D50" s="11">
        <v>1380</v>
      </c>
      <c r="E50" s="11">
        <v>183207</v>
      </c>
      <c r="F50" s="11">
        <v>0</v>
      </c>
      <c r="G50" s="11">
        <f>SUM(C50:F50)</f>
        <v>343257</v>
      </c>
      <c r="H50" s="17">
        <f>ROUND(G50/846,2)</f>
        <v>405.74</v>
      </c>
      <c r="I50" s="10"/>
      <c r="J50" s="10"/>
    </row>
    <row r="51" spans="1:10" x14ac:dyDescent="0.25">
      <c r="A51" s="21" t="s">
        <v>56</v>
      </c>
      <c r="B51" s="21"/>
      <c r="C51" s="11">
        <v>78970</v>
      </c>
      <c r="D51" s="11">
        <v>0</v>
      </c>
      <c r="E51" s="11">
        <v>33701</v>
      </c>
      <c r="F51" s="11">
        <v>0</v>
      </c>
      <c r="G51" s="11">
        <f>SUM(C51:F51)</f>
        <v>112671</v>
      </c>
      <c r="H51" s="17">
        <f>ROUND(G51/846,2)</f>
        <v>133.18</v>
      </c>
      <c r="I51" s="10"/>
      <c r="J51" s="10"/>
    </row>
    <row r="52" spans="1:10" x14ac:dyDescent="0.25">
      <c r="A52" s="21" t="s">
        <v>57</v>
      </c>
      <c r="B52" s="21"/>
      <c r="C52" s="11">
        <v>0</v>
      </c>
      <c r="D52" s="11">
        <v>0</v>
      </c>
      <c r="E52" s="11">
        <v>0</v>
      </c>
      <c r="F52" s="11">
        <v>0</v>
      </c>
      <c r="G52" s="11">
        <f>SUM(C52:F52)</f>
        <v>0</v>
      </c>
      <c r="H52" s="17">
        <f>ROUND(G52/846,2)</f>
        <v>0</v>
      </c>
      <c r="I52" s="10"/>
      <c r="J52" s="10"/>
    </row>
    <row r="53" spans="1:10" x14ac:dyDescent="0.25">
      <c r="C53" s="9"/>
      <c r="D53" s="9"/>
      <c r="E53" s="9"/>
      <c r="F53" s="9"/>
      <c r="G53" s="9"/>
      <c r="H53" s="9"/>
      <c r="I53" s="10"/>
      <c r="J53" s="10"/>
    </row>
    <row r="54" spans="1:10" x14ac:dyDescent="0.25">
      <c r="C54" s="9"/>
      <c r="D54" s="9"/>
      <c r="E54" s="9"/>
      <c r="F54" s="9"/>
      <c r="G54" s="9"/>
      <c r="H54" s="9"/>
      <c r="I54" s="10"/>
      <c r="J54" s="10"/>
    </row>
    <row r="55" spans="1:10" x14ac:dyDescent="0.25">
      <c r="C55" s="9"/>
      <c r="D55" s="9"/>
      <c r="E55" s="9"/>
      <c r="F55" s="9"/>
      <c r="G55" s="9"/>
      <c r="H55" s="9"/>
      <c r="I55" s="10"/>
      <c r="J55" s="10"/>
    </row>
    <row r="56" spans="1:10" x14ac:dyDescent="0.25">
      <c r="C56" s="9"/>
      <c r="D56" s="9"/>
      <c r="E56" s="9"/>
      <c r="F56" s="9"/>
      <c r="G56" s="9"/>
      <c r="H56" s="9"/>
      <c r="I56" s="10"/>
      <c r="J56" s="10"/>
    </row>
    <row r="57" spans="1:10" x14ac:dyDescent="0.25">
      <c r="A57" s="26" t="s">
        <v>58</v>
      </c>
      <c r="B57" s="26"/>
      <c r="C57" s="15" t="s">
        <v>2</v>
      </c>
      <c r="D57" s="15">
        <v>2024</v>
      </c>
      <c r="E57" s="15" t="s">
        <v>60</v>
      </c>
      <c r="F57" s="14"/>
      <c r="G57" s="15" t="s">
        <v>61</v>
      </c>
      <c r="H57" s="15" t="s">
        <v>2</v>
      </c>
      <c r="I57" s="13" t="s">
        <v>62</v>
      </c>
      <c r="J57" s="13" t="s">
        <v>60</v>
      </c>
    </row>
    <row r="58" spans="1:10" x14ac:dyDescent="0.25">
      <c r="A58" s="21" t="s">
        <v>59</v>
      </c>
      <c r="B58" s="21"/>
      <c r="C58" s="16">
        <f>ROUND(0.8053, 4)</f>
        <v>0.80530000000000002</v>
      </c>
      <c r="D58" s="16">
        <f>ROUND(0.7849, 4)</f>
        <v>0.78490000000000004</v>
      </c>
      <c r="E58" s="16">
        <f>ROUND(0.7856, 4)</f>
        <v>0.78559999999999997</v>
      </c>
      <c r="F58" s="9"/>
      <c r="G58" s="15" t="s">
        <v>63</v>
      </c>
      <c r="H58" s="27" t="s">
        <v>64</v>
      </c>
      <c r="I58" s="24" t="s">
        <v>65</v>
      </c>
      <c r="J58" s="24" t="s">
        <v>66</v>
      </c>
    </row>
    <row r="59" spans="1:10" x14ac:dyDescent="0.25">
      <c r="A59" s="21" t="s">
        <v>67</v>
      </c>
      <c r="B59" s="21"/>
      <c r="C59" s="16">
        <f>ROUND(0.8053, 4)</f>
        <v>0.80530000000000002</v>
      </c>
      <c r="D59" s="16">
        <f>ROUND(0.7474, 4)</f>
        <v>0.74739999999999995</v>
      </c>
      <c r="E59" s="16">
        <f>ROUND(0.7702, 4)</f>
        <v>0.7702</v>
      </c>
      <c r="F59" s="9"/>
      <c r="G59" s="15" t="s">
        <v>68</v>
      </c>
      <c r="H59" s="28"/>
      <c r="I59" s="25"/>
      <c r="J59" s="25"/>
    </row>
    <row r="60" spans="1:10" x14ac:dyDescent="0.25">
      <c r="C60" s="9"/>
      <c r="D60" s="9"/>
      <c r="E60" s="9"/>
      <c r="F60" s="9"/>
      <c r="G60" s="9"/>
      <c r="H60" s="9"/>
      <c r="I60" s="10"/>
      <c r="J60" s="10"/>
    </row>
    <row r="61" spans="1:10" x14ac:dyDescent="0.25">
      <c r="C61" s="9"/>
      <c r="D61" s="9"/>
      <c r="E61" s="9"/>
      <c r="F61" s="9"/>
      <c r="G61" s="9"/>
      <c r="H61" s="9"/>
      <c r="I61" s="10"/>
      <c r="J61" s="10"/>
    </row>
    <row r="62" spans="1:10" x14ac:dyDescent="0.25">
      <c r="C62" s="9"/>
      <c r="D62" s="9"/>
      <c r="E62" s="9"/>
      <c r="F62" s="9"/>
      <c r="G62" s="9"/>
      <c r="H62" s="9"/>
      <c r="I62" s="10"/>
      <c r="J62" s="10"/>
    </row>
    <row r="63" spans="1:10" x14ac:dyDescent="0.25">
      <c r="A63" s="26" t="s">
        <v>69</v>
      </c>
      <c r="B63" s="26"/>
      <c r="C63" s="15" t="s">
        <v>2</v>
      </c>
      <c r="D63" s="15" t="s">
        <v>70</v>
      </c>
      <c r="E63" s="15" t="s">
        <v>71</v>
      </c>
      <c r="F63" s="15" t="s">
        <v>72</v>
      </c>
      <c r="G63" s="15" t="s">
        <v>73</v>
      </c>
      <c r="H63" s="14"/>
      <c r="I63" s="18"/>
      <c r="J63" s="18"/>
    </row>
    <row r="64" spans="1:10" x14ac:dyDescent="0.25">
      <c r="A64" s="21" t="s">
        <v>74</v>
      </c>
      <c r="B64" s="21"/>
      <c r="C64" s="17">
        <v>93.35</v>
      </c>
      <c r="D64" s="17">
        <v>87.77</v>
      </c>
      <c r="E64" s="17">
        <v>96.15</v>
      </c>
      <c r="F64" s="17">
        <v>57.94</v>
      </c>
      <c r="G64" s="17">
        <f>12/12*C64</f>
        <v>93.35</v>
      </c>
      <c r="H64" s="9"/>
      <c r="I64" s="10"/>
      <c r="J64" s="10"/>
    </row>
    <row r="65" spans="1:10" x14ac:dyDescent="0.25">
      <c r="A65" s="21" t="s">
        <v>75</v>
      </c>
      <c r="B65" s="21"/>
      <c r="C65" s="17">
        <v>49.79</v>
      </c>
      <c r="D65" s="17">
        <v>51.36</v>
      </c>
      <c r="E65" s="17">
        <v>62.28</v>
      </c>
      <c r="F65" s="17">
        <v>66.599999999999994</v>
      </c>
      <c r="G65" s="17">
        <f>12/12*C65</f>
        <v>49.79</v>
      </c>
      <c r="H65" s="9"/>
      <c r="I65" s="10"/>
      <c r="J65" s="10"/>
    </row>
    <row r="66" spans="1:10" x14ac:dyDescent="0.25">
      <c r="A66" s="21" t="s">
        <v>76</v>
      </c>
      <c r="B66" s="21"/>
      <c r="C66" s="17">
        <v>405.74</v>
      </c>
      <c r="D66" s="17">
        <v>336.16</v>
      </c>
      <c r="E66" s="17">
        <v>300.02</v>
      </c>
      <c r="F66" s="17">
        <v>295.08</v>
      </c>
      <c r="G66" s="17">
        <f>12/12*C66</f>
        <v>405.74</v>
      </c>
      <c r="H66" s="9"/>
      <c r="I66" s="10"/>
      <c r="J66" s="10"/>
    </row>
    <row r="67" spans="1:10" x14ac:dyDescent="0.25">
      <c r="A67" s="21" t="s">
        <v>77</v>
      </c>
      <c r="B67" s="21"/>
      <c r="C67" s="17">
        <v>133.18</v>
      </c>
      <c r="D67" s="17">
        <v>115.1</v>
      </c>
      <c r="E67" s="17">
        <v>120.96</v>
      </c>
      <c r="F67" s="17">
        <v>83.12</v>
      </c>
      <c r="G67" s="17">
        <f>12/12*C67</f>
        <v>133.18</v>
      </c>
      <c r="H67" s="9"/>
      <c r="I67" s="10"/>
      <c r="J67" s="10"/>
    </row>
    <row r="68" spans="1:10" x14ac:dyDescent="0.25">
      <c r="C68" s="9"/>
      <c r="D68" s="9"/>
      <c r="E68" s="9"/>
      <c r="F68" s="9"/>
      <c r="G68" s="9"/>
      <c r="H68" s="9"/>
      <c r="I68" s="10"/>
      <c r="J68" s="10"/>
    </row>
    <row r="69" spans="1:10" x14ac:dyDescent="0.25">
      <c r="C69" s="9"/>
      <c r="D69" s="9"/>
      <c r="E69" s="9"/>
      <c r="F69" s="9"/>
      <c r="G69" s="9"/>
      <c r="H69" s="9"/>
      <c r="I69" s="10"/>
      <c r="J69" s="10"/>
    </row>
    <row r="70" spans="1:10" x14ac:dyDescent="0.25">
      <c r="A70" s="22" t="s">
        <v>61</v>
      </c>
      <c r="B70" s="23"/>
      <c r="C70" s="9"/>
      <c r="D70" s="9"/>
      <c r="E70" s="9"/>
      <c r="F70" s="9"/>
      <c r="G70" s="9"/>
      <c r="H70" s="9"/>
      <c r="I70" s="10"/>
      <c r="J70" s="10"/>
    </row>
    <row r="71" spans="1:10" x14ac:dyDescent="0.25">
      <c r="A71" s="3" t="s">
        <v>78</v>
      </c>
      <c r="B71" s="1" t="s">
        <v>79</v>
      </c>
    </row>
    <row r="72" spans="1:10" x14ac:dyDescent="0.25">
      <c r="A72" s="3" t="s">
        <v>71</v>
      </c>
      <c r="B72" s="1" t="s">
        <v>80</v>
      </c>
    </row>
    <row r="73" spans="1:10" x14ac:dyDescent="0.25">
      <c r="A73" s="3" t="s">
        <v>72</v>
      </c>
      <c r="B73" s="1" t="s">
        <v>81</v>
      </c>
    </row>
    <row r="74" spans="1:10" x14ac:dyDescent="0.25">
      <c r="A74" s="3" t="s">
        <v>73</v>
      </c>
      <c r="B74" s="1" t="s">
        <v>82</v>
      </c>
    </row>
  </sheetData>
  <mergeCells count="19">
    <mergeCell ref="C7:G7"/>
    <mergeCell ref="A43:B43"/>
    <mergeCell ref="A44:B44"/>
    <mergeCell ref="A49:B49"/>
    <mergeCell ref="A50:B50"/>
    <mergeCell ref="J58:J59"/>
    <mergeCell ref="A59:B59"/>
    <mergeCell ref="A63:B63"/>
    <mergeCell ref="A64:B64"/>
    <mergeCell ref="A51:B51"/>
    <mergeCell ref="A52:B52"/>
    <mergeCell ref="A57:B57"/>
    <mergeCell ref="A58:B58"/>
    <mergeCell ref="H58:H59"/>
    <mergeCell ref="A65:B65"/>
    <mergeCell ref="A66:B66"/>
    <mergeCell ref="A67:B67"/>
    <mergeCell ref="A70:B70"/>
    <mergeCell ref="I58:I5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J78"/>
  <sheetViews>
    <sheetView workbookViewId="0">
      <selection activeCell="H5" sqref="H5"/>
    </sheetView>
  </sheetViews>
  <sheetFormatPr defaultRowHeight="15" x14ac:dyDescent="0.25"/>
  <cols>
    <col min="1" max="1" width="28.42578125" bestFit="1" customWidth="1"/>
    <col min="2" max="2" width="59.5703125" bestFit="1" customWidth="1"/>
    <col min="3" max="3" width="12.7109375" bestFit="1" customWidth="1"/>
    <col min="4" max="4" width="30.28515625" bestFit="1" customWidth="1"/>
    <col min="5" max="5" width="13.85546875" bestFit="1" customWidth="1"/>
    <col min="6" max="6" width="8.5703125" bestFit="1" customWidth="1"/>
    <col min="7" max="7" width="47.7109375" bestFit="1" customWidth="1"/>
    <col min="8" max="9" width="16.7109375" bestFit="1" customWidth="1"/>
    <col min="10" max="10" width="24.42578125" bestFit="1" customWidth="1"/>
  </cols>
  <sheetData>
    <row r="2" spans="1:10" ht="18.75" x14ac:dyDescent="0.3">
      <c r="A2" s="3" t="s">
        <v>0</v>
      </c>
      <c r="B2" s="4" t="s">
        <v>115</v>
      </c>
    </row>
    <row r="3" spans="1:10" x14ac:dyDescent="0.25">
      <c r="A3" s="3" t="s">
        <v>2</v>
      </c>
      <c r="B3" s="1" t="s">
        <v>3</v>
      </c>
    </row>
    <row r="4" spans="1:10" x14ac:dyDescent="0.25">
      <c r="A4" s="3" t="s">
        <v>4</v>
      </c>
      <c r="B4" s="20">
        <v>7869</v>
      </c>
    </row>
    <row r="7" spans="1:10" x14ac:dyDescent="0.25">
      <c r="C7" s="22" t="s">
        <v>5</v>
      </c>
      <c r="D7" s="21"/>
      <c r="E7" s="21"/>
      <c r="F7" s="21"/>
      <c r="G7" s="21"/>
    </row>
    <row r="8" spans="1:10" x14ac:dyDescent="0.25">
      <c r="A8" s="3" t="s">
        <v>6</v>
      </c>
      <c r="B8" s="3" t="s">
        <v>7</v>
      </c>
      <c r="C8" s="15" t="s">
        <v>8</v>
      </c>
      <c r="D8" s="15" t="s">
        <v>9</v>
      </c>
      <c r="E8" s="15" t="s">
        <v>10</v>
      </c>
      <c r="F8" s="15" t="s">
        <v>11</v>
      </c>
      <c r="G8" s="15" t="s">
        <v>12</v>
      </c>
      <c r="H8" s="15" t="s">
        <v>13</v>
      </c>
      <c r="I8" s="15" t="s">
        <v>14</v>
      </c>
      <c r="J8" s="15" t="s">
        <v>15</v>
      </c>
    </row>
    <row r="9" spans="1:10" x14ac:dyDescent="0.25">
      <c r="A9" s="1" t="s">
        <v>16</v>
      </c>
      <c r="B9" s="1" t="s">
        <v>17</v>
      </c>
      <c r="C9" s="11"/>
      <c r="D9" s="11"/>
      <c r="E9" s="11">
        <v>105</v>
      </c>
      <c r="F9" s="11"/>
      <c r="G9" s="11">
        <f t="shared" ref="G9:G46" si="0">SUM(C9:F9)</f>
        <v>105</v>
      </c>
      <c r="H9" s="17">
        <f t="shared" ref="H9:H46" si="1">ROUND(G9/7869,2)</f>
        <v>0.01</v>
      </c>
      <c r="I9" s="16">
        <f t="shared" ref="I9:I46" si="2">ROUND(G9/$G$47,3)</f>
        <v>0</v>
      </c>
      <c r="J9" s="16">
        <f>ROUND(G9/138-1,2)</f>
        <v>-0.24</v>
      </c>
    </row>
    <row r="10" spans="1:10" x14ac:dyDescent="0.25">
      <c r="A10" s="1" t="s">
        <v>16</v>
      </c>
      <c r="B10" s="1" t="s">
        <v>92</v>
      </c>
      <c r="C10" s="11"/>
      <c r="D10" s="11"/>
      <c r="E10" s="11"/>
      <c r="F10" s="11">
        <v>13100</v>
      </c>
      <c r="G10" s="11">
        <f t="shared" si="0"/>
        <v>13100</v>
      </c>
      <c r="H10" s="17">
        <f t="shared" si="1"/>
        <v>1.66</v>
      </c>
      <c r="I10" s="16">
        <f t="shared" si="2"/>
        <v>5.0000000000000001E-3</v>
      </c>
      <c r="J10" s="16">
        <f>ROUND(G10/15510-1,2)</f>
        <v>-0.16</v>
      </c>
    </row>
    <row r="11" spans="1:10" x14ac:dyDescent="0.25">
      <c r="A11" s="1" t="s">
        <v>16</v>
      </c>
      <c r="B11" s="1" t="s">
        <v>19</v>
      </c>
      <c r="C11" s="11">
        <v>245780</v>
      </c>
      <c r="D11" s="11"/>
      <c r="E11" s="11">
        <v>6380</v>
      </c>
      <c r="F11" s="11">
        <v>600</v>
      </c>
      <c r="G11" s="11">
        <f t="shared" si="0"/>
        <v>252760</v>
      </c>
      <c r="H11" s="17">
        <f t="shared" si="1"/>
        <v>32.119999999999997</v>
      </c>
      <c r="I11" s="16">
        <f t="shared" si="2"/>
        <v>0.09</v>
      </c>
      <c r="J11" s="16">
        <f>ROUND(G11/253810-1,2)</f>
        <v>0</v>
      </c>
    </row>
    <row r="12" spans="1:10" x14ac:dyDescent="0.25">
      <c r="A12" s="1" t="s">
        <v>16</v>
      </c>
      <c r="B12" s="1" t="s">
        <v>20</v>
      </c>
      <c r="C12" s="11">
        <v>261040</v>
      </c>
      <c r="D12" s="11"/>
      <c r="E12" s="11"/>
      <c r="F12" s="11"/>
      <c r="G12" s="11">
        <f t="shared" si="0"/>
        <v>261040</v>
      </c>
      <c r="H12" s="17">
        <f t="shared" si="1"/>
        <v>33.17</v>
      </c>
      <c r="I12" s="16">
        <f t="shared" si="2"/>
        <v>9.2999999999999999E-2</v>
      </c>
      <c r="J12" s="16">
        <f>ROUND(G12/275930-1,2)</f>
        <v>-0.05</v>
      </c>
    </row>
    <row r="13" spans="1:10" x14ac:dyDescent="0.25">
      <c r="A13" s="1" t="s">
        <v>16</v>
      </c>
      <c r="B13" s="1" t="s">
        <v>87</v>
      </c>
      <c r="C13" s="11"/>
      <c r="D13" s="11"/>
      <c r="E13" s="11">
        <v>39</v>
      </c>
      <c r="F13" s="11"/>
      <c r="G13" s="11">
        <f t="shared" si="0"/>
        <v>39</v>
      </c>
      <c r="H13" s="17">
        <f t="shared" si="1"/>
        <v>0</v>
      </c>
      <c r="I13" s="16">
        <f t="shared" si="2"/>
        <v>0</v>
      </c>
      <c r="J13" s="16">
        <f>ROUND(G13/25-1,2)</f>
        <v>0.56000000000000005</v>
      </c>
    </row>
    <row r="14" spans="1:10" x14ac:dyDescent="0.25">
      <c r="A14" s="1" t="s">
        <v>16</v>
      </c>
      <c r="B14" s="1" t="s">
        <v>21</v>
      </c>
      <c r="C14" s="11"/>
      <c r="D14" s="11"/>
      <c r="E14" s="11">
        <v>221</v>
      </c>
      <c r="F14" s="11"/>
      <c r="G14" s="11">
        <f t="shared" si="0"/>
        <v>221</v>
      </c>
      <c r="H14" s="17">
        <f t="shared" si="1"/>
        <v>0.03</v>
      </c>
      <c r="I14" s="16">
        <f t="shared" si="2"/>
        <v>0</v>
      </c>
      <c r="J14" s="16">
        <f>ROUND(G14/447-1,2)</f>
        <v>-0.51</v>
      </c>
    </row>
    <row r="15" spans="1:10" x14ac:dyDescent="0.25">
      <c r="A15" s="1" t="s">
        <v>16</v>
      </c>
      <c r="B15" s="1" t="s">
        <v>22</v>
      </c>
      <c r="C15" s="11"/>
      <c r="D15" s="11"/>
      <c r="E15" s="11">
        <v>1800</v>
      </c>
      <c r="F15" s="11"/>
      <c r="G15" s="11">
        <f t="shared" si="0"/>
        <v>1800</v>
      </c>
      <c r="H15" s="17">
        <f t="shared" si="1"/>
        <v>0.23</v>
      </c>
      <c r="I15" s="16">
        <f t="shared" si="2"/>
        <v>1E-3</v>
      </c>
      <c r="J15" s="16">
        <f>ROUND(G15/3200-1,2)</f>
        <v>-0.44</v>
      </c>
    </row>
    <row r="16" spans="1:10" x14ac:dyDescent="0.25">
      <c r="A16" s="1" t="s">
        <v>16</v>
      </c>
      <c r="B16" s="1" t="s">
        <v>23</v>
      </c>
      <c r="C16" s="11"/>
      <c r="D16" s="11"/>
      <c r="E16" s="11">
        <v>85240</v>
      </c>
      <c r="F16" s="11"/>
      <c r="G16" s="11">
        <f t="shared" si="0"/>
        <v>85240</v>
      </c>
      <c r="H16" s="17">
        <f t="shared" si="1"/>
        <v>10.83</v>
      </c>
      <c r="I16" s="16">
        <f t="shared" si="2"/>
        <v>0.03</v>
      </c>
      <c r="J16" s="16">
        <f>ROUND(G16/118280-1,2)</f>
        <v>-0.28000000000000003</v>
      </c>
    </row>
    <row r="17" spans="1:10" x14ac:dyDescent="0.25">
      <c r="A17" s="1" t="s">
        <v>16</v>
      </c>
      <c r="B17" s="1" t="s">
        <v>24</v>
      </c>
      <c r="C17" s="11">
        <v>365210</v>
      </c>
      <c r="D17" s="11"/>
      <c r="E17" s="11">
        <v>25320</v>
      </c>
      <c r="F17" s="11">
        <v>290</v>
      </c>
      <c r="G17" s="11">
        <f t="shared" si="0"/>
        <v>390820</v>
      </c>
      <c r="H17" s="17">
        <f t="shared" si="1"/>
        <v>49.67</v>
      </c>
      <c r="I17" s="16">
        <f t="shared" si="2"/>
        <v>0.13800000000000001</v>
      </c>
      <c r="J17" s="16">
        <f>ROUND(G17/392120-1,2)</f>
        <v>0</v>
      </c>
    </row>
    <row r="18" spans="1:10" x14ac:dyDescent="0.25">
      <c r="A18" s="1" t="s">
        <v>16</v>
      </c>
      <c r="B18" s="1" t="s">
        <v>25</v>
      </c>
      <c r="C18" s="11"/>
      <c r="D18" s="11"/>
      <c r="E18" s="11">
        <v>9000</v>
      </c>
      <c r="F18" s="11"/>
      <c r="G18" s="11">
        <f t="shared" si="0"/>
        <v>9000</v>
      </c>
      <c r="H18" s="17">
        <f t="shared" si="1"/>
        <v>1.1399999999999999</v>
      </c>
      <c r="I18" s="16">
        <f t="shared" si="2"/>
        <v>3.0000000000000001E-3</v>
      </c>
      <c r="J18" s="16">
        <f>ROUND(G18/9420-1,2)</f>
        <v>-0.04</v>
      </c>
    </row>
    <row r="19" spans="1:10" x14ac:dyDescent="0.25">
      <c r="A19" s="1" t="s">
        <v>16</v>
      </c>
      <c r="B19" s="1" t="s">
        <v>26</v>
      </c>
      <c r="C19" s="11">
        <v>516010</v>
      </c>
      <c r="D19" s="11"/>
      <c r="E19" s="11"/>
      <c r="F19" s="11">
        <v>450</v>
      </c>
      <c r="G19" s="11">
        <f t="shared" si="0"/>
        <v>516460</v>
      </c>
      <c r="H19" s="17">
        <f t="shared" si="1"/>
        <v>65.63</v>
      </c>
      <c r="I19" s="16">
        <f t="shared" si="2"/>
        <v>0.183</v>
      </c>
      <c r="J19" s="16">
        <f>ROUND(G19/509130-1,2)</f>
        <v>0.01</v>
      </c>
    </row>
    <row r="20" spans="1:10" x14ac:dyDescent="0.25">
      <c r="A20" s="1" t="s">
        <v>16</v>
      </c>
      <c r="B20" s="1" t="s">
        <v>27</v>
      </c>
      <c r="C20" s="11"/>
      <c r="D20" s="11"/>
      <c r="E20" s="11">
        <v>3719</v>
      </c>
      <c r="F20" s="11"/>
      <c r="G20" s="11">
        <f t="shared" si="0"/>
        <v>3719</v>
      </c>
      <c r="H20" s="17">
        <f t="shared" si="1"/>
        <v>0.47</v>
      </c>
      <c r="I20" s="16">
        <f t="shared" si="2"/>
        <v>1E-3</v>
      </c>
      <c r="J20" s="16">
        <f>ROUND(G20/2810-1,2)</f>
        <v>0.32</v>
      </c>
    </row>
    <row r="21" spans="1:10" x14ac:dyDescent="0.25">
      <c r="A21" s="1" t="s">
        <v>16</v>
      </c>
      <c r="B21" s="1" t="s">
        <v>28</v>
      </c>
      <c r="C21" s="11"/>
      <c r="D21" s="11"/>
      <c r="E21" s="11">
        <v>2301</v>
      </c>
      <c r="F21" s="11"/>
      <c r="G21" s="11">
        <f t="shared" si="0"/>
        <v>2301</v>
      </c>
      <c r="H21" s="17">
        <f t="shared" si="1"/>
        <v>0.28999999999999998</v>
      </c>
      <c r="I21" s="16">
        <f t="shared" si="2"/>
        <v>1E-3</v>
      </c>
      <c r="J21" s="16">
        <f>ROUND(G21/2168-1,2)</f>
        <v>0.06</v>
      </c>
    </row>
    <row r="22" spans="1:10" x14ac:dyDescent="0.25">
      <c r="A22" s="1" t="s">
        <v>16</v>
      </c>
      <c r="B22" s="1" t="s">
        <v>30</v>
      </c>
      <c r="C22" s="11"/>
      <c r="D22" s="11"/>
      <c r="E22" s="11">
        <v>6160</v>
      </c>
      <c r="F22" s="11"/>
      <c r="G22" s="11">
        <f t="shared" si="0"/>
        <v>6160</v>
      </c>
      <c r="H22" s="17">
        <f t="shared" si="1"/>
        <v>0.78</v>
      </c>
      <c r="I22" s="16">
        <f t="shared" si="2"/>
        <v>2E-3</v>
      </c>
      <c r="J22" s="16">
        <f>ROUND(G22/6970-1,2)</f>
        <v>-0.12</v>
      </c>
    </row>
    <row r="23" spans="1:10" x14ac:dyDescent="0.25">
      <c r="A23" s="1" t="s">
        <v>16</v>
      </c>
      <c r="B23" s="1" t="s">
        <v>31</v>
      </c>
      <c r="C23" s="11"/>
      <c r="D23" s="11"/>
      <c r="E23" s="11">
        <v>2190</v>
      </c>
      <c r="F23" s="11"/>
      <c r="G23" s="11">
        <f t="shared" si="0"/>
        <v>2190</v>
      </c>
      <c r="H23" s="17">
        <f t="shared" si="1"/>
        <v>0.28000000000000003</v>
      </c>
      <c r="I23" s="16">
        <f t="shared" si="2"/>
        <v>1E-3</v>
      </c>
      <c r="J23" s="16">
        <f>ROUND(G23/2560-1,2)</f>
        <v>-0.14000000000000001</v>
      </c>
    </row>
    <row r="24" spans="1:10" x14ac:dyDescent="0.25">
      <c r="A24" s="1" t="s">
        <v>16</v>
      </c>
      <c r="B24" s="1" t="s">
        <v>32</v>
      </c>
      <c r="C24" s="11"/>
      <c r="D24" s="11"/>
      <c r="E24" s="11">
        <v>850</v>
      </c>
      <c r="F24" s="11"/>
      <c r="G24" s="11">
        <f t="shared" si="0"/>
        <v>850</v>
      </c>
      <c r="H24" s="17">
        <f t="shared" si="1"/>
        <v>0.11</v>
      </c>
      <c r="I24" s="16">
        <f t="shared" si="2"/>
        <v>0</v>
      </c>
      <c r="J24" s="16">
        <f>ROUND(G24/1220-1,2)</f>
        <v>-0.3</v>
      </c>
    </row>
    <row r="25" spans="1:10" x14ac:dyDescent="0.25">
      <c r="A25" s="1" t="s">
        <v>16</v>
      </c>
      <c r="B25" s="1" t="s">
        <v>33</v>
      </c>
      <c r="C25" s="11"/>
      <c r="D25" s="11"/>
      <c r="E25" s="11">
        <v>1612</v>
      </c>
      <c r="F25" s="11"/>
      <c r="G25" s="11">
        <f t="shared" si="0"/>
        <v>1612</v>
      </c>
      <c r="H25" s="17">
        <f t="shared" si="1"/>
        <v>0.2</v>
      </c>
      <c r="I25" s="16">
        <f t="shared" si="2"/>
        <v>1E-3</v>
      </c>
      <c r="J25" s="16">
        <f>ROUND(G25/2174-1,2)</f>
        <v>-0.26</v>
      </c>
    </row>
    <row r="26" spans="1:10" x14ac:dyDescent="0.25">
      <c r="A26" s="1" t="s">
        <v>16</v>
      </c>
      <c r="B26" s="1" t="s">
        <v>34</v>
      </c>
      <c r="C26" s="11"/>
      <c r="D26" s="11">
        <v>194</v>
      </c>
      <c r="E26" s="11">
        <v>434</v>
      </c>
      <c r="F26" s="11"/>
      <c r="G26" s="11">
        <f t="shared" si="0"/>
        <v>628</v>
      </c>
      <c r="H26" s="17">
        <f t="shared" si="1"/>
        <v>0.08</v>
      </c>
      <c r="I26" s="16">
        <f t="shared" si="2"/>
        <v>0</v>
      </c>
      <c r="J26" s="16">
        <f>ROUND(G26/655-1,2)</f>
        <v>-0.04</v>
      </c>
    </row>
    <row r="27" spans="1:10" x14ac:dyDescent="0.25">
      <c r="A27" s="1" t="s">
        <v>16</v>
      </c>
      <c r="B27" s="1" t="s">
        <v>36</v>
      </c>
      <c r="C27" s="11"/>
      <c r="D27" s="11"/>
      <c r="E27" s="11">
        <v>422</v>
      </c>
      <c r="F27" s="11"/>
      <c r="G27" s="11">
        <f t="shared" si="0"/>
        <v>422</v>
      </c>
      <c r="H27" s="17">
        <f t="shared" si="1"/>
        <v>0.05</v>
      </c>
      <c r="I27" s="16">
        <f t="shared" si="2"/>
        <v>0</v>
      </c>
      <c r="J27" s="16">
        <f>ROUND(G27/1178.5-1,2)</f>
        <v>-0.64</v>
      </c>
    </row>
    <row r="28" spans="1:10" x14ac:dyDescent="0.25">
      <c r="A28" s="1" t="s">
        <v>16</v>
      </c>
      <c r="B28" s="1" t="s">
        <v>35</v>
      </c>
      <c r="C28" s="11"/>
      <c r="D28" s="11"/>
      <c r="E28" s="11">
        <v>740</v>
      </c>
      <c r="F28" s="11"/>
      <c r="G28" s="11">
        <f t="shared" si="0"/>
        <v>740</v>
      </c>
      <c r="H28" s="17">
        <f t="shared" si="1"/>
        <v>0.09</v>
      </c>
      <c r="I28" s="16">
        <f t="shared" si="2"/>
        <v>0</v>
      </c>
      <c r="J28" s="16">
        <f>ROUND(G28/270-1,2)</f>
        <v>1.74</v>
      </c>
    </row>
    <row r="29" spans="1:10" x14ac:dyDescent="0.25">
      <c r="A29" s="1" t="s">
        <v>16</v>
      </c>
      <c r="B29" s="1" t="s">
        <v>37</v>
      </c>
      <c r="C29" s="11"/>
      <c r="D29" s="11"/>
      <c r="E29" s="11">
        <v>2700</v>
      </c>
      <c r="F29" s="11"/>
      <c r="G29" s="11">
        <f t="shared" si="0"/>
        <v>2700</v>
      </c>
      <c r="H29" s="17">
        <f t="shared" si="1"/>
        <v>0.34</v>
      </c>
      <c r="I29" s="16">
        <f t="shared" si="2"/>
        <v>1E-3</v>
      </c>
      <c r="J29" s="16">
        <f>ROUND(G29/5820-1,2)</f>
        <v>-0.54</v>
      </c>
    </row>
    <row r="30" spans="1:10" x14ac:dyDescent="0.25">
      <c r="A30" s="1" t="s">
        <v>16</v>
      </c>
      <c r="B30" s="1" t="s">
        <v>38</v>
      </c>
      <c r="C30" s="11"/>
      <c r="D30" s="11"/>
      <c r="E30" s="11">
        <v>3920</v>
      </c>
      <c r="F30" s="11"/>
      <c r="G30" s="11">
        <f t="shared" si="0"/>
        <v>3920</v>
      </c>
      <c r="H30" s="17">
        <f t="shared" si="1"/>
        <v>0.5</v>
      </c>
      <c r="I30" s="16">
        <f t="shared" si="2"/>
        <v>1E-3</v>
      </c>
      <c r="J30" s="16">
        <f>ROUND(G30/14720-1,2)</f>
        <v>-0.73</v>
      </c>
    </row>
    <row r="31" spans="1:10" x14ac:dyDescent="0.25">
      <c r="A31" s="1" t="s">
        <v>16</v>
      </c>
      <c r="B31" s="1" t="s">
        <v>39</v>
      </c>
      <c r="C31" s="11"/>
      <c r="D31" s="11"/>
      <c r="E31" s="11">
        <v>12886</v>
      </c>
      <c r="F31" s="11"/>
      <c r="G31" s="11">
        <f t="shared" si="0"/>
        <v>12886</v>
      </c>
      <c r="H31" s="17">
        <f t="shared" si="1"/>
        <v>1.64</v>
      </c>
      <c r="I31" s="16">
        <f t="shared" si="2"/>
        <v>5.0000000000000001E-3</v>
      </c>
      <c r="J31" s="16">
        <f>ROUND(G31/13439-1,2)</f>
        <v>-0.04</v>
      </c>
    </row>
    <row r="32" spans="1:10" x14ac:dyDescent="0.25">
      <c r="A32" s="1" t="s">
        <v>16</v>
      </c>
      <c r="B32" s="1" t="s">
        <v>40</v>
      </c>
      <c r="C32" s="11"/>
      <c r="D32" s="11"/>
      <c r="E32" s="11">
        <v>143510</v>
      </c>
      <c r="F32" s="11"/>
      <c r="G32" s="11">
        <f t="shared" si="0"/>
        <v>143510</v>
      </c>
      <c r="H32" s="17">
        <f t="shared" si="1"/>
        <v>18.239999999999998</v>
      </c>
      <c r="I32" s="16">
        <f t="shared" si="2"/>
        <v>5.0999999999999997E-2</v>
      </c>
      <c r="J32" s="16">
        <f>ROUND(G32/159970-1,2)</f>
        <v>-0.1</v>
      </c>
    </row>
    <row r="33" spans="1:10" x14ac:dyDescent="0.25">
      <c r="A33" s="1" t="s">
        <v>16</v>
      </c>
      <c r="B33" s="1" t="s">
        <v>41</v>
      </c>
      <c r="C33" s="11"/>
      <c r="D33" s="11"/>
      <c r="E33" s="11">
        <v>9590</v>
      </c>
      <c r="F33" s="11"/>
      <c r="G33" s="11">
        <f t="shared" si="0"/>
        <v>9590</v>
      </c>
      <c r="H33" s="17">
        <f t="shared" si="1"/>
        <v>1.22</v>
      </c>
      <c r="I33" s="16">
        <f t="shared" si="2"/>
        <v>3.0000000000000001E-3</v>
      </c>
      <c r="J33" s="16">
        <f>ROUND(G33/8030-1,2)</f>
        <v>0.19</v>
      </c>
    </row>
    <row r="34" spans="1:10" x14ac:dyDescent="0.25">
      <c r="A34" s="1" t="s">
        <v>16</v>
      </c>
      <c r="B34" s="1" t="s">
        <v>42</v>
      </c>
      <c r="C34" s="11"/>
      <c r="D34" s="11"/>
      <c r="E34" s="11">
        <v>29650</v>
      </c>
      <c r="F34" s="11"/>
      <c r="G34" s="11">
        <f t="shared" si="0"/>
        <v>29650</v>
      </c>
      <c r="H34" s="17">
        <f t="shared" si="1"/>
        <v>3.77</v>
      </c>
      <c r="I34" s="16">
        <f t="shared" si="2"/>
        <v>1.0999999999999999E-2</v>
      </c>
      <c r="J34" s="16">
        <f>ROUND(G34/32530-1,2)</f>
        <v>-0.09</v>
      </c>
    </row>
    <row r="35" spans="1:10" x14ac:dyDescent="0.25">
      <c r="A35" s="1" t="s">
        <v>16</v>
      </c>
      <c r="B35" s="1" t="s">
        <v>44</v>
      </c>
      <c r="C35" s="11"/>
      <c r="D35" s="11"/>
      <c r="E35" s="11">
        <v>490580</v>
      </c>
      <c r="F35" s="11">
        <v>2100</v>
      </c>
      <c r="G35" s="11">
        <f t="shared" si="0"/>
        <v>492680</v>
      </c>
      <c r="H35" s="17">
        <f t="shared" si="1"/>
        <v>62.61</v>
      </c>
      <c r="I35" s="16">
        <f t="shared" si="2"/>
        <v>0.17499999999999999</v>
      </c>
      <c r="J35" s="16">
        <f>ROUND(G35/437570-1,2)</f>
        <v>0.13</v>
      </c>
    </row>
    <row r="36" spans="1:10" x14ac:dyDescent="0.25">
      <c r="A36" s="1" t="s">
        <v>16</v>
      </c>
      <c r="B36" s="1" t="s">
        <v>96</v>
      </c>
      <c r="C36" s="11"/>
      <c r="D36" s="11"/>
      <c r="E36" s="11"/>
      <c r="F36" s="11"/>
      <c r="G36" s="11">
        <f t="shared" si="0"/>
        <v>0</v>
      </c>
      <c r="H36" s="17">
        <f t="shared" si="1"/>
        <v>0</v>
      </c>
      <c r="I36" s="16">
        <f t="shared" si="2"/>
        <v>0</v>
      </c>
      <c r="J36" s="16"/>
    </row>
    <row r="37" spans="1:10" x14ac:dyDescent="0.25">
      <c r="A37" s="1" t="s">
        <v>16</v>
      </c>
      <c r="B37" s="1" t="s">
        <v>29</v>
      </c>
      <c r="C37" s="11"/>
      <c r="D37" s="11"/>
      <c r="E37" s="11"/>
      <c r="F37" s="11"/>
      <c r="G37" s="11">
        <f t="shared" si="0"/>
        <v>0</v>
      </c>
      <c r="H37" s="17">
        <f t="shared" si="1"/>
        <v>0</v>
      </c>
      <c r="I37" s="16">
        <f t="shared" si="2"/>
        <v>0</v>
      </c>
      <c r="J37" s="16">
        <f>ROUND(G37/219-1,2)</f>
        <v>-1</v>
      </c>
    </row>
    <row r="38" spans="1:10" x14ac:dyDescent="0.25">
      <c r="A38" s="1" t="s">
        <v>16</v>
      </c>
      <c r="B38" s="1" t="s">
        <v>116</v>
      </c>
      <c r="C38" s="11"/>
      <c r="D38" s="11"/>
      <c r="E38" s="11"/>
      <c r="F38" s="11"/>
      <c r="G38" s="11">
        <f t="shared" si="0"/>
        <v>0</v>
      </c>
      <c r="H38" s="17">
        <f t="shared" si="1"/>
        <v>0</v>
      </c>
      <c r="I38" s="16">
        <f t="shared" si="2"/>
        <v>0</v>
      </c>
      <c r="J38" s="16"/>
    </row>
    <row r="39" spans="1:10" x14ac:dyDescent="0.25">
      <c r="A39" s="1" t="s">
        <v>16</v>
      </c>
      <c r="B39" s="1" t="s">
        <v>117</v>
      </c>
      <c r="C39" s="11"/>
      <c r="D39" s="11"/>
      <c r="E39" s="11"/>
      <c r="F39" s="11"/>
      <c r="G39" s="11">
        <f t="shared" si="0"/>
        <v>0</v>
      </c>
      <c r="H39" s="17">
        <f t="shared" si="1"/>
        <v>0</v>
      </c>
      <c r="I39" s="16">
        <f t="shared" si="2"/>
        <v>0</v>
      </c>
      <c r="J39" s="16"/>
    </row>
    <row r="40" spans="1:10" x14ac:dyDescent="0.25">
      <c r="A40" s="1" t="s">
        <v>45</v>
      </c>
      <c r="B40" s="1" t="s">
        <v>46</v>
      </c>
      <c r="C40" s="11">
        <v>435600</v>
      </c>
      <c r="D40" s="11"/>
      <c r="E40" s="11"/>
      <c r="F40" s="11">
        <v>1230</v>
      </c>
      <c r="G40" s="11">
        <f t="shared" si="0"/>
        <v>436830</v>
      </c>
      <c r="H40" s="17">
        <f t="shared" si="1"/>
        <v>55.51</v>
      </c>
      <c r="I40" s="16">
        <f t="shared" si="2"/>
        <v>0.155</v>
      </c>
      <c r="J40" s="16">
        <f>ROUND(G40/407760-1,2)</f>
        <v>7.0000000000000007E-2</v>
      </c>
    </row>
    <row r="41" spans="1:10" x14ac:dyDescent="0.25">
      <c r="A41" s="1" t="s">
        <v>45</v>
      </c>
      <c r="B41" s="1" t="s">
        <v>48</v>
      </c>
      <c r="C41" s="11"/>
      <c r="D41" s="11"/>
      <c r="E41" s="11"/>
      <c r="F41" s="11">
        <v>34440</v>
      </c>
      <c r="G41" s="11">
        <f t="shared" si="0"/>
        <v>34440</v>
      </c>
      <c r="H41" s="17">
        <f t="shared" si="1"/>
        <v>4.38</v>
      </c>
      <c r="I41" s="16">
        <f t="shared" si="2"/>
        <v>1.2E-2</v>
      </c>
      <c r="J41" s="16">
        <f>ROUND(G41/52880-1,2)</f>
        <v>-0.35</v>
      </c>
    </row>
    <row r="42" spans="1:10" x14ac:dyDescent="0.25">
      <c r="A42" s="1" t="s">
        <v>45</v>
      </c>
      <c r="B42" s="1" t="s">
        <v>47</v>
      </c>
      <c r="C42" s="11"/>
      <c r="D42" s="11"/>
      <c r="E42" s="11">
        <v>106440</v>
      </c>
      <c r="F42" s="11"/>
      <c r="G42" s="11">
        <f t="shared" si="0"/>
        <v>106440</v>
      </c>
      <c r="H42" s="17">
        <f t="shared" si="1"/>
        <v>13.53</v>
      </c>
      <c r="I42" s="16">
        <f t="shared" si="2"/>
        <v>3.7999999999999999E-2</v>
      </c>
      <c r="J42" s="16">
        <f>ROUND(G42/104020-1,2)</f>
        <v>0.02</v>
      </c>
    </row>
    <row r="43" spans="1:10" x14ac:dyDescent="0.25">
      <c r="A43" s="1" t="s">
        <v>49</v>
      </c>
      <c r="B43" s="1" t="s">
        <v>51</v>
      </c>
      <c r="C43" s="11"/>
      <c r="D43" s="11"/>
      <c r="E43" s="11"/>
      <c r="F43" s="11"/>
      <c r="G43" s="11">
        <f t="shared" si="0"/>
        <v>0</v>
      </c>
      <c r="H43" s="17">
        <f t="shared" si="1"/>
        <v>0</v>
      </c>
      <c r="I43" s="16">
        <f t="shared" si="2"/>
        <v>0</v>
      </c>
      <c r="J43" s="16"/>
    </row>
    <row r="44" spans="1:10" x14ac:dyDescent="0.25">
      <c r="A44" s="1" t="s">
        <v>49</v>
      </c>
      <c r="B44" s="1" t="s">
        <v>52</v>
      </c>
      <c r="C44" s="11"/>
      <c r="D44" s="11"/>
      <c r="E44" s="11"/>
      <c r="F44" s="11"/>
      <c r="G44" s="11">
        <f t="shared" si="0"/>
        <v>0</v>
      </c>
      <c r="H44" s="17">
        <f t="shared" si="1"/>
        <v>0</v>
      </c>
      <c r="I44" s="16">
        <f t="shared" si="2"/>
        <v>0</v>
      </c>
      <c r="J44" s="16"/>
    </row>
    <row r="45" spans="1:10" x14ac:dyDescent="0.25">
      <c r="A45" s="1" t="s">
        <v>49</v>
      </c>
      <c r="B45" s="1" t="s">
        <v>50</v>
      </c>
      <c r="C45" s="11"/>
      <c r="D45" s="11"/>
      <c r="E45" s="11"/>
      <c r="F45" s="11"/>
      <c r="G45" s="11">
        <f t="shared" si="0"/>
        <v>0</v>
      </c>
      <c r="H45" s="17">
        <f t="shared" si="1"/>
        <v>0</v>
      </c>
      <c r="I45" s="16">
        <f t="shared" si="2"/>
        <v>0</v>
      </c>
      <c r="J45" s="16"/>
    </row>
    <row r="46" spans="1:10" x14ac:dyDescent="0.25">
      <c r="A46" s="1" t="s">
        <v>49</v>
      </c>
      <c r="B46" s="1" t="s">
        <v>88</v>
      </c>
      <c r="C46" s="11"/>
      <c r="D46" s="11"/>
      <c r="E46" s="11"/>
      <c r="F46" s="11"/>
      <c r="G46" s="11">
        <f t="shared" si="0"/>
        <v>0</v>
      </c>
      <c r="H46" s="17">
        <f t="shared" si="1"/>
        <v>0</v>
      </c>
      <c r="I46" s="16">
        <f t="shared" si="2"/>
        <v>0</v>
      </c>
      <c r="J46" s="16"/>
    </row>
    <row r="47" spans="1:10" x14ac:dyDescent="0.25">
      <c r="A47" s="26" t="s">
        <v>12</v>
      </c>
      <c r="B47" s="26"/>
      <c r="C47" s="12">
        <f t="shared" ref="C47:H47" si="3">SUM(C8:C46)</f>
        <v>1823640</v>
      </c>
      <c r="D47" s="12">
        <f t="shared" si="3"/>
        <v>194</v>
      </c>
      <c r="E47" s="12">
        <f t="shared" si="3"/>
        <v>945809</v>
      </c>
      <c r="F47" s="12">
        <f t="shared" si="3"/>
        <v>52210</v>
      </c>
      <c r="G47" s="12">
        <f t="shared" si="3"/>
        <v>2821853</v>
      </c>
      <c r="H47" s="15">
        <f t="shared" si="3"/>
        <v>358.58</v>
      </c>
      <c r="I47" s="18"/>
      <c r="J47" s="18"/>
    </row>
    <row r="48" spans="1:10" x14ac:dyDescent="0.25">
      <c r="A48" s="26" t="s">
        <v>14</v>
      </c>
      <c r="B48" s="26"/>
      <c r="C48" s="13">
        <f>ROUND(C47/G47,2)</f>
        <v>0.65</v>
      </c>
      <c r="D48" s="13">
        <f>ROUND(D47/G47,2)</f>
        <v>0</v>
      </c>
      <c r="E48" s="13">
        <f>ROUND(E47/G47,2)</f>
        <v>0.34</v>
      </c>
      <c r="F48" s="13">
        <f>ROUND(F47/G47,2)</f>
        <v>0.02</v>
      </c>
      <c r="G48" s="14"/>
      <c r="H48" s="14"/>
      <c r="I48" s="18"/>
      <c r="J48" s="18"/>
    </row>
    <row r="49" spans="1:10" x14ac:dyDescent="0.25">
      <c r="A49" s="2" t="s">
        <v>53</v>
      </c>
      <c r="B49" s="2"/>
      <c r="C49" s="14"/>
      <c r="D49" s="14"/>
      <c r="E49" s="14"/>
      <c r="F49" s="14"/>
      <c r="G49" s="14"/>
      <c r="H49" s="14"/>
      <c r="I49" s="18"/>
      <c r="J49" s="18"/>
    </row>
    <row r="50" spans="1:10" x14ac:dyDescent="0.25">
      <c r="C50" s="9"/>
      <c r="D50" s="9"/>
      <c r="E50" s="9"/>
      <c r="F50" s="9"/>
      <c r="G50" s="9"/>
      <c r="H50" s="9"/>
      <c r="I50" s="10"/>
      <c r="J50" s="10"/>
    </row>
    <row r="51" spans="1:10" x14ac:dyDescent="0.25">
      <c r="C51" s="9"/>
      <c r="D51" s="9"/>
      <c r="E51" s="9"/>
      <c r="F51" s="9"/>
      <c r="G51" s="9"/>
      <c r="H51" s="9"/>
      <c r="I51" s="10"/>
      <c r="J51" s="10"/>
    </row>
    <row r="52" spans="1:10" x14ac:dyDescent="0.25">
      <c r="C52" s="9"/>
      <c r="D52" s="9"/>
      <c r="E52" s="9"/>
      <c r="F52" s="9"/>
      <c r="G52" s="9"/>
      <c r="H52" s="9"/>
      <c r="I52" s="10"/>
      <c r="J52" s="10"/>
    </row>
    <row r="53" spans="1:10" x14ac:dyDescent="0.25">
      <c r="A53" s="26" t="s">
        <v>54</v>
      </c>
      <c r="B53" s="26"/>
      <c r="C53" s="12" t="s">
        <v>8</v>
      </c>
      <c r="D53" s="12" t="s">
        <v>9</v>
      </c>
      <c r="E53" s="12" t="s">
        <v>10</v>
      </c>
      <c r="F53" s="12" t="s">
        <v>11</v>
      </c>
      <c r="G53" s="12" t="s">
        <v>12</v>
      </c>
      <c r="H53" s="15" t="s">
        <v>13</v>
      </c>
      <c r="I53" s="18"/>
      <c r="J53" s="18"/>
    </row>
    <row r="54" spans="1:10" x14ac:dyDescent="0.25">
      <c r="A54" s="21" t="s">
        <v>55</v>
      </c>
      <c r="B54" s="21"/>
      <c r="C54" s="11">
        <v>1388040</v>
      </c>
      <c r="D54" s="11">
        <v>194</v>
      </c>
      <c r="E54" s="11">
        <v>839369</v>
      </c>
      <c r="F54" s="11">
        <v>16540</v>
      </c>
      <c r="G54" s="11">
        <f>SUM(C54:F54)</f>
        <v>2244143</v>
      </c>
      <c r="H54" s="17">
        <f>ROUND(G54/7869,2)</f>
        <v>285.19</v>
      </c>
      <c r="I54" s="10"/>
      <c r="J54" s="10"/>
    </row>
    <row r="55" spans="1:10" x14ac:dyDescent="0.25">
      <c r="A55" s="21" t="s">
        <v>56</v>
      </c>
      <c r="B55" s="21"/>
      <c r="C55" s="11">
        <v>435600</v>
      </c>
      <c r="D55" s="11">
        <v>0</v>
      </c>
      <c r="E55" s="11">
        <v>106440</v>
      </c>
      <c r="F55" s="11">
        <v>35670</v>
      </c>
      <c r="G55" s="11">
        <f>SUM(C55:F55)</f>
        <v>577710</v>
      </c>
      <c r="H55" s="17">
        <f>ROUND(G55/7869,2)</f>
        <v>73.42</v>
      </c>
      <c r="I55" s="10"/>
      <c r="J55" s="10"/>
    </row>
    <row r="56" spans="1:10" x14ac:dyDescent="0.25">
      <c r="A56" s="21" t="s">
        <v>57</v>
      </c>
      <c r="B56" s="21"/>
      <c r="C56" s="11">
        <v>0</v>
      </c>
      <c r="D56" s="11">
        <v>0</v>
      </c>
      <c r="E56" s="11">
        <v>0</v>
      </c>
      <c r="F56" s="11">
        <v>0</v>
      </c>
      <c r="G56" s="11">
        <f>SUM(C56:F56)</f>
        <v>0</v>
      </c>
      <c r="H56" s="17">
        <f>ROUND(G56/7869,2)</f>
        <v>0</v>
      </c>
      <c r="I56" s="10"/>
      <c r="J56" s="10"/>
    </row>
    <row r="57" spans="1:10" x14ac:dyDescent="0.25">
      <c r="C57" s="9"/>
      <c r="D57" s="9"/>
      <c r="E57" s="9"/>
      <c r="F57" s="9"/>
      <c r="G57" s="9"/>
      <c r="H57" s="9"/>
      <c r="I57" s="10"/>
      <c r="J57" s="10"/>
    </row>
    <row r="58" spans="1:10" x14ac:dyDescent="0.25">
      <c r="C58" s="9"/>
      <c r="D58" s="9"/>
      <c r="E58" s="9"/>
      <c r="F58" s="9"/>
      <c r="G58" s="9"/>
      <c r="H58" s="9"/>
      <c r="I58" s="10"/>
      <c r="J58" s="10"/>
    </row>
    <row r="59" spans="1:10" x14ac:dyDescent="0.25">
      <c r="C59" s="9"/>
      <c r="D59" s="9"/>
      <c r="E59" s="9"/>
      <c r="F59" s="9"/>
      <c r="G59" s="9"/>
      <c r="H59" s="9"/>
      <c r="I59" s="10"/>
      <c r="J59" s="10"/>
    </row>
    <row r="60" spans="1:10" x14ac:dyDescent="0.25">
      <c r="C60" s="9"/>
      <c r="D60" s="9"/>
      <c r="E60" s="9"/>
      <c r="F60" s="9"/>
      <c r="G60" s="9"/>
      <c r="H60" s="9"/>
      <c r="I60" s="10"/>
      <c r="J60" s="10"/>
    </row>
    <row r="61" spans="1:10" x14ac:dyDescent="0.25">
      <c r="A61" s="26" t="s">
        <v>58</v>
      </c>
      <c r="B61" s="26"/>
      <c r="C61" s="15" t="s">
        <v>2</v>
      </c>
      <c r="D61" s="15">
        <v>2024</v>
      </c>
      <c r="E61" s="15" t="s">
        <v>60</v>
      </c>
      <c r="F61" s="14"/>
      <c r="G61" s="15" t="s">
        <v>61</v>
      </c>
      <c r="H61" s="15" t="s">
        <v>2</v>
      </c>
      <c r="I61" s="13" t="s">
        <v>62</v>
      </c>
      <c r="J61" s="13" t="s">
        <v>60</v>
      </c>
    </row>
    <row r="62" spans="1:10" x14ac:dyDescent="0.25">
      <c r="A62" s="21" t="s">
        <v>59</v>
      </c>
      <c r="B62" s="21"/>
      <c r="C62" s="16">
        <f>ROUND(0.8403, 4)</f>
        <v>0.84030000000000005</v>
      </c>
      <c r="D62" s="16">
        <f>ROUND(0.8443, 4)</f>
        <v>0.84430000000000005</v>
      </c>
      <c r="E62" s="16">
        <f>ROUND(0.7856, 4)</f>
        <v>0.78559999999999997</v>
      </c>
      <c r="F62" s="9"/>
      <c r="G62" s="15" t="s">
        <v>63</v>
      </c>
      <c r="H62" s="27" t="s">
        <v>64</v>
      </c>
      <c r="I62" s="24" t="s">
        <v>65</v>
      </c>
      <c r="J62" s="24" t="s">
        <v>66</v>
      </c>
    </row>
    <row r="63" spans="1:10" x14ac:dyDescent="0.25">
      <c r="A63" s="21" t="s">
        <v>67</v>
      </c>
      <c r="B63" s="21"/>
      <c r="C63" s="16">
        <f>ROUND(0.8403, 4)</f>
        <v>0.84030000000000005</v>
      </c>
      <c r="D63" s="16">
        <f>ROUND(0.8322, 4)</f>
        <v>0.83220000000000005</v>
      </c>
      <c r="E63" s="16">
        <f>ROUND(0.7702, 4)</f>
        <v>0.7702</v>
      </c>
      <c r="F63" s="9"/>
      <c r="G63" s="15" t="s">
        <v>68</v>
      </c>
      <c r="H63" s="28"/>
      <c r="I63" s="25"/>
      <c r="J63" s="25"/>
    </row>
    <row r="64" spans="1:10" x14ac:dyDescent="0.25">
      <c r="C64" s="9"/>
      <c r="D64" s="9"/>
      <c r="E64" s="9"/>
      <c r="F64" s="9"/>
      <c r="G64" s="9"/>
      <c r="H64" s="9"/>
      <c r="I64" s="10"/>
      <c r="J64" s="10"/>
    </row>
    <row r="65" spans="1:10" x14ac:dyDescent="0.25">
      <c r="C65" s="9"/>
      <c r="D65" s="9"/>
      <c r="E65" s="9"/>
      <c r="F65" s="9"/>
      <c r="G65" s="9"/>
      <c r="H65" s="9"/>
      <c r="I65" s="10"/>
      <c r="J65" s="10"/>
    </row>
    <row r="66" spans="1:10" x14ac:dyDescent="0.25">
      <c r="C66" s="9"/>
      <c r="D66" s="9"/>
      <c r="E66" s="9"/>
      <c r="F66" s="9"/>
      <c r="G66" s="9"/>
      <c r="H66" s="9"/>
      <c r="I66" s="10"/>
      <c r="J66" s="10"/>
    </row>
    <row r="67" spans="1:10" x14ac:dyDescent="0.25">
      <c r="A67" s="26" t="s">
        <v>69</v>
      </c>
      <c r="B67" s="26"/>
      <c r="C67" s="15" t="s">
        <v>2</v>
      </c>
      <c r="D67" s="15" t="s">
        <v>118</v>
      </c>
      <c r="E67" s="15" t="s">
        <v>71</v>
      </c>
      <c r="F67" s="15" t="s">
        <v>72</v>
      </c>
      <c r="G67" s="15" t="s">
        <v>73</v>
      </c>
      <c r="H67" s="14"/>
      <c r="I67" s="18"/>
      <c r="J67" s="18"/>
    </row>
    <row r="68" spans="1:10" x14ac:dyDescent="0.25">
      <c r="A68" s="21" t="s">
        <v>74</v>
      </c>
      <c r="B68" s="21"/>
      <c r="C68" s="17">
        <v>55.51</v>
      </c>
      <c r="D68" s="17">
        <v>51.57</v>
      </c>
      <c r="E68" s="17">
        <v>96.15</v>
      </c>
      <c r="F68" s="17">
        <v>57.94</v>
      </c>
      <c r="G68" s="17">
        <f>12/12*C68</f>
        <v>55.51</v>
      </c>
      <c r="H68" s="9"/>
      <c r="I68" s="10"/>
      <c r="J68" s="10"/>
    </row>
    <row r="69" spans="1:10" x14ac:dyDescent="0.25">
      <c r="A69" s="21" t="s">
        <v>75</v>
      </c>
      <c r="B69" s="21"/>
      <c r="C69" s="17">
        <v>65.63</v>
      </c>
      <c r="D69" s="17">
        <v>66.989999999999995</v>
      </c>
      <c r="E69" s="17">
        <v>62.28</v>
      </c>
      <c r="F69" s="17">
        <v>66.599999999999994</v>
      </c>
      <c r="G69" s="17">
        <f>12/12*C69</f>
        <v>65.63</v>
      </c>
      <c r="H69" s="9"/>
      <c r="I69" s="10"/>
      <c r="J69" s="10"/>
    </row>
    <row r="70" spans="1:10" x14ac:dyDescent="0.25">
      <c r="A70" s="21" t="s">
        <v>76</v>
      </c>
      <c r="B70" s="21"/>
      <c r="C70" s="17">
        <v>285.19</v>
      </c>
      <c r="D70" s="17">
        <v>271.14</v>
      </c>
      <c r="E70" s="17">
        <v>300.02</v>
      </c>
      <c r="F70" s="17">
        <v>295.08</v>
      </c>
      <c r="G70" s="17">
        <f>12/12*C70</f>
        <v>285.19</v>
      </c>
      <c r="H70" s="9"/>
      <c r="I70" s="10"/>
      <c r="J70" s="10"/>
    </row>
    <row r="71" spans="1:10" x14ac:dyDescent="0.25">
      <c r="A71" s="21" t="s">
        <v>77</v>
      </c>
      <c r="B71" s="21"/>
      <c r="C71" s="17">
        <v>73.42</v>
      </c>
      <c r="D71" s="17">
        <v>70.66</v>
      </c>
      <c r="E71" s="17">
        <v>120.96</v>
      </c>
      <c r="F71" s="17">
        <v>83.12</v>
      </c>
      <c r="G71" s="17">
        <f>12/12*C71</f>
        <v>73.42</v>
      </c>
      <c r="H71" s="9"/>
      <c r="I71" s="10"/>
      <c r="J71" s="10"/>
    </row>
    <row r="72" spans="1:10" x14ac:dyDescent="0.25">
      <c r="C72" s="9"/>
      <c r="D72" s="9"/>
      <c r="E72" s="9"/>
      <c r="F72" s="9"/>
      <c r="G72" s="9"/>
      <c r="H72" s="9"/>
      <c r="I72" s="10"/>
      <c r="J72" s="10"/>
    </row>
    <row r="73" spans="1:10" x14ac:dyDescent="0.25">
      <c r="C73" s="9"/>
      <c r="D73" s="9"/>
      <c r="E73" s="9"/>
      <c r="F73" s="9"/>
      <c r="G73" s="9"/>
      <c r="H73" s="9"/>
      <c r="I73" s="10"/>
      <c r="J73" s="10"/>
    </row>
    <row r="74" spans="1:10" x14ac:dyDescent="0.25">
      <c r="A74" s="22" t="s">
        <v>61</v>
      </c>
      <c r="B74" s="23"/>
      <c r="C74" s="9"/>
      <c r="D74" s="9"/>
      <c r="E74" s="9"/>
      <c r="F74" s="9"/>
      <c r="G74" s="9"/>
      <c r="H74" s="9"/>
      <c r="I74" s="10"/>
      <c r="J74" s="10"/>
    </row>
    <row r="75" spans="1:10" x14ac:dyDescent="0.25">
      <c r="A75" s="3" t="s">
        <v>78</v>
      </c>
      <c r="B75" s="1" t="s">
        <v>119</v>
      </c>
    </row>
    <row r="76" spans="1:10" x14ac:dyDescent="0.25">
      <c r="A76" s="3" t="s">
        <v>71</v>
      </c>
      <c r="B76" s="1" t="s">
        <v>80</v>
      </c>
    </row>
    <row r="77" spans="1:10" x14ac:dyDescent="0.25">
      <c r="A77" s="3" t="s">
        <v>72</v>
      </c>
      <c r="B77" s="1" t="s">
        <v>81</v>
      </c>
    </row>
    <row r="78" spans="1:10" x14ac:dyDescent="0.25">
      <c r="A78" s="3" t="s">
        <v>73</v>
      </c>
      <c r="B78" s="1" t="s">
        <v>82</v>
      </c>
    </row>
  </sheetData>
  <mergeCells count="19">
    <mergeCell ref="C7:G7"/>
    <mergeCell ref="A47:B47"/>
    <mergeCell ref="A48:B48"/>
    <mergeCell ref="A53:B53"/>
    <mergeCell ref="A54:B54"/>
    <mergeCell ref="J62:J63"/>
    <mergeCell ref="A63:B63"/>
    <mergeCell ref="A67:B67"/>
    <mergeCell ref="A68:B68"/>
    <mergeCell ref="A55:B55"/>
    <mergeCell ref="A56:B56"/>
    <mergeCell ref="A61:B61"/>
    <mergeCell ref="A62:B62"/>
    <mergeCell ref="H62:H63"/>
    <mergeCell ref="A69:B69"/>
    <mergeCell ref="A70:B70"/>
    <mergeCell ref="A71:B71"/>
    <mergeCell ref="A74:B74"/>
    <mergeCell ref="I62:I6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J74"/>
  <sheetViews>
    <sheetView workbookViewId="0">
      <selection activeCell="H5" sqref="H5"/>
    </sheetView>
  </sheetViews>
  <sheetFormatPr defaultRowHeight="15" x14ac:dyDescent="0.25"/>
  <cols>
    <col min="1" max="1" width="28.42578125" bestFit="1" customWidth="1"/>
    <col min="2" max="2" width="59.5703125" bestFit="1" customWidth="1"/>
    <col min="3" max="3" width="12.7109375" bestFit="1" customWidth="1"/>
    <col min="4" max="4" width="31.7109375" bestFit="1" customWidth="1"/>
    <col min="5" max="5" width="13.85546875" bestFit="1" customWidth="1"/>
    <col min="6" max="6" width="8.5703125" bestFit="1" customWidth="1"/>
    <col min="7" max="7" width="47.7109375" bestFit="1" customWidth="1"/>
    <col min="8" max="9" width="16.7109375" bestFit="1" customWidth="1"/>
    <col min="10" max="10" width="24.42578125" bestFit="1" customWidth="1"/>
  </cols>
  <sheetData>
    <row r="2" spans="1:10" ht="18.75" x14ac:dyDescent="0.3">
      <c r="A2" s="3" t="s">
        <v>0</v>
      </c>
      <c r="B2" s="4" t="s">
        <v>120</v>
      </c>
    </row>
    <row r="3" spans="1:10" x14ac:dyDescent="0.25">
      <c r="A3" s="3" t="s">
        <v>2</v>
      </c>
      <c r="B3" s="1" t="s">
        <v>3</v>
      </c>
    </row>
    <row r="4" spans="1:10" x14ac:dyDescent="0.25">
      <c r="A4" s="3" t="s">
        <v>4</v>
      </c>
      <c r="B4" s="20">
        <v>955</v>
      </c>
    </row>
    <row r="7" spans="1:10" x14ac:dyDescent="0.25">
      <c r="C7" s="22" t="s">
        <v>5</v>
      </c>
      <c r="D7" s="21"/>
      <c r="E7" s="21"/>
      <c r="F7" s="21"/>
      <c r="G7" s="21"/>
    </row>
    <row r="8" spans="1:10" x14ac:dyDescent="0.25">
      <c r="A8" s="3" t="s">
        <v>6</v>
      </c>
      <c r="B8" s="3" t="s">
        <v>7</v>
      </c>
      <c r="C8" s="15" t="s">
        <v>8</v>
      </c>
      <c r="D8" s="15" t="s">
        <v>9</v>
      </c>
      <c r="E8" s="15" t="s">
        <v>10</v>
      </c>
      <c r="F8" s="15" t="s">
        <v>11</v>
      </c>
      <c r="G8" s="15" t="s">
        <v>12</v>
      </c>
      <c r="H8" s="15" t="s">
        <v>13</v>
      </c>
      <c r="I8" s="15" t="s">
        <v>14</v>
      </c>
      <c r="J8" s="15" t="s">
        <v>15</v>
      </c>
    </row>
    <row r="9" spans="1:10" x14ac:dyDescent="0.25">
      <c r="A9" s="1" t="s">
        <v>16</v>
      </c>
      <c r="B9" s="1" t="s">
        <v>17</v>
      </c>
      <c r="C9" s="11"/>
      <c r="D9" s="11"/>
      <c r="E9" s="11">
        <v>64</v>
      </c>
      <c r="F9" s="11"/>
      <c r="G9" s="11">
        <f t="shared" ref="G9:G42" si="0">SUM(C9:F9)</f>
        <v>64</v>
      </c>
      <c r="H9" s="17">
        <f t="shared" ref="H9:H42" si="1">ROUND(G9/955,2)</f>
        <v>7.0000000000000007E-2</v>
      </c>
      <c r="I9" s="16">
        <f t="shared" ref="I9:I42" si="2">ROUND(G9/$G$43,3)</f>
        <v>0</v>
      </c>
      <c r="J9" s="16">
        <f>ROUND(G9/32-1,2)</f>
        <v>1</v>
      </c>
    </row>
    <row r="10" spans="1:10" x14ac:dyDescent="0.25">
      <c r="A10" s="1" t="s">
        <v>16</v>
      </c>
      <c r="B10" s="1" t="s">
        <v>18</v>
      </c>
      <c r="C10" s="11"/>
      <c r="D10" s="11"/>
      <c r="E10" s="11">
        <v>1461</v>
      </c>
      <c r="F10" s="11"/>
      <c r="G10" s="11">
        <f t="shared" si="0"/>
        <v>1461</v>
      </c>
      <c r="H10" s="17">
        <f t="shared" si="1"/>
        <v>1.53</v>
      </c>
      <c r="I10" s="16">
        <f t="shared" si="2"/>
        <v>4.0000000000000001E-3</v>
      </c>
      <c r="J10" s="16">
        <f>ROUND(G10/3894-1,2)</f>
        <v>-0.62</v>
      </c>
    </row>
    <row r="11" spans="1:10" x14ac:dyDescent="0.25">
      <c r="A11" s="1" t="s">
        <v>16</v>
      </c>
      <c r="B11" s="1" t="s">
        <v>19</v>
      </c>
      <c r="C11" s="11">
        <v>29200</v>
      </c>
      <c r="D11" s="11"/>
      <c r="E11" s="11">
        <v>6913</v>
      </c>
      <c r="F11" s="11"/>
      <c r="G11" s="11">
        <f t="shared" si="0"/>
        <v>36113</v>
      </c>
      <c r="H11" s="17">
        <f t="shared" si="1"/>
        <v>37.81</v>
      </c>
      <c r="I11" s="16">
        <f t="shared" si="2"/>
        <v>9.0999999999999998E-2</v>
      </c>
      <c r="J11" s="16">
        <f>ROUND(G11/41273-1,2)</f>
        <v>-0.13</v>
      </c>
    </row>
    <row r="12" spans="1:10" x14ac:dyDescent="0.25">
      <c r="A12" s="1" t="s">
        <v>16</v>
      </c>
      <c r="B12" s="1" t="s">
        <v>20</v>
      </c>
      <c r="C12" s="11">
        <v>38440</v>
      </c>
      <c r="D12" s="11"/>
      <c r="E12" s="11">
        <v>1719</v>
      </c>
      <c r="F12" s="11">
        <v>40</v>
      </c>
      <c r="G12" s="11">
        <f t="shared" si="0"/>
        <v>40199</v>
      </c>
      <c r="H12" s="17">
        <f t="shared" si="1"/>
        <v>42.09</v>
      </c>
      <c r="I12" s="16">
        <f t="shared" si="2"/>
        <v>0.10199999999999999</v>
      </c>
      <c r="J12" s="16">
        <f>ROUND(G12/42386-1,2)</f>
        <v>-0.05</v>
      </c>
    </row>
    <row r="13" spans="1:10" x14ac:dyDescent="0.25">
      <c r="A13" s="1" t="s">
        <v>16</v>
      </c>
      <c r="B13" s="1" t="s">
        <v>21</v>
      </c>
      <c r="C13" s="11"/>
      <c r="D13" s="11"/>
      <c r="E13" s="11">
        <v>120</v>
      </c>
      <c r="F13" s="11"/>
      <c r="G13" s="11">
        <f t="shared" si="0"/>
        <v>120</v>
      </c>
      <c r="H13" s="17">
        <f t="shared" si="1"/>
        <v>0.13</v>
      </c>
      <c r="I13" s="16">
        <f t="shared" si="2"/>
        <v>0</v>
      </c>
      <c r="J13" s="16">
        <f>ROUND(G13/101-1,2)</f>
        <v>0.19</v>
      </c>
    </row>
    <row r="14" spans="1:10" x14ac:dyDescent="0.25">
      <c r="A14" s="1" t="s">
        <v>16</v>
      </c>
      <c r="B14" s="1" t="s">
        <v>22</v>
      </c>
      <c r="C14" s="11"/>
      <c r="D14" s="11"/>
      <c r="E14" s="11">
        <v>399</v>
      </c>
      <c r="F14" s="11"/>
      <c r="G14" s="11">
        <f t="shared" si="0"/>
        <v>399</v>
      </c>
      <c r="H14" s="17">
        <f t="shared" si="1"/>
        <v>0.42</v>
      </c>
      <c r="I14" s="16">
        <f t="shared" si="2"/>
        <v>1E-3</v>
      </c>
      <c r="J14" s="16">
        <f>ROUND(G14/907-1,2)</f>
        <v>-0.56000000000000005</v>
      </c>
    </row>
    <row r="15" spans="1:10" x14ac:dyDescent="0.25">
      <c r="A15" s="1" t="s">
        <v>16</v>
      </c>
      <c r="B15" s="1" t="s">
        <v>23</v>
      </c>
      <c r="C15" s="11"/>
      <c r="D15" s="11"/>
      <c r="E15" s="11">
        <v>32726</v>
      </c>
      <c r="F15" s="11"/>
      <c r="G15" s="11">
        <f t="shared" si="0"/>
        <v>32726</v>
      </c>
      <c r="H15" s="17">
        <f t="shared" si="1"/>
        <v>34.270000000000003</v>
      </c>
      <c r="I15" s="16">
        <f t="shared" si="2"/>
        <v>8.3000000000000004E-2</v>
      </c>
      <c r="J15" s="16">
        <f>ROUND(G15/29847-1,2)</f>
        <v>0.1</v>
      </c>
    </row>
    <row r="16" spans="1:10" x14ac:dyDescent="0.25">
      <c r="A16" s="1" t="s">
        <v>16</v>
      </c>
      <c r="B16" s="1" t="s">
        <v>24</v>
      </c>
      <c r="C16" s="11">
        <v>32570</v>
      </c>
      <c r="D16" s="11"/>
      <c r="E16" s="11">
        <v>15733</v>
      </c>
      <c r="F16" s="11"/>
      <c r="G16" s="11">
        <f t="shared" si="0"/>
        <v>48303</v>
      </c>
      <c r="H16" s="17">
        <f t="shared" si="1"/>
        <v>50.58</v>
      </c>
      <c r="I16" s="16">
        <f t="shared" si="2"/>
        <v>0.122</v>
      </c>
      <c r="J16" s="16">
        <f>ROUND(G16/55914-1,2)</f>
        <v>-0.14000000000000001</v>
      </c>
    </row>
    <row r="17" spans="1:10" x14ac:dyDescent="0.25">
      <c r="A17" s="1" t="s">
        <v>16</v>
      </c>
      <c r="B17" s="1" t="s">
        <v>25</v>
      </c>
      <c r="C17" s="11"/>
      <c r="D17" s="11"/>
      <c r="E17" s="11">
        <v>1317</v>
      </c>
      <c r="F17" s="11"/>
      <c r="G17" s="11">
        <f t="shared" si="0"/>
        <v>1317</v>
      </c>
      <c r="H17" s="17">
        <f t="shared" si="1"/>
        <v>1.38</v>
      </c>
      <c r="I17" s="16">
        <f t="shared" si="2"/>
        <v>3.0000000000000001E-3</v>
      </c>
      <c r="J17" s="16">
        <f>ROUND(G17/1920-1,2)</f>
        <v>-0.31</v>
      </c>
    </row>
    <row r="18" spans="1:10" x14ac:dyDescent="0.25">
      <c r="A18" s="1" t="s">
        <v>16</v>
      </c>
      <c r="B18" s="1" t="s">
        <v>26</v>
      </c>
      <c r="C18" s="11">
        <v>46460</v>
      </c>
      <c r="D18" s="11"/>
      <c r="E18" s="11"/>
      <c r="F18" s="11"/>
      <c r="G18" s="11">
        <f t="shared" si="0"/>
        <v>46460</v>
      </c>
      <c r="H18" s="17">
        <f t="shared" si="1"/>
        <v>48.65</v>
      </c>
      <c r="I18" s="16">
        <f t="shared" si="2"/>
        <v>0.11799999999999999</v>
      </c>
      <c r="J18" s="16">
        <f>ROUND(G18/46660-1,2)</f>
        <v>0</v>
      </c>
    </row>
    <row r="19" spans="1:10" x14ac:dyDescent="0.25">
      <c r="A19" s="1" t="s">
        <v>16</v>
      </c>
      <c r="B19" s="1" t="s">
        <v>27</v>
      </c>
      <c r="C19" s="11"/>
      <c r="D19" s="11"/>
      <c r="E19" s="11">
        <v>277</v>
      </c>
      <c r="F19" s="11"/>
      <c r="G19" s="11">
        <f t="shared" si="0"/>
        <v>277</v>
      </c>
      <c r="H19" s="17">
        <f t="shared" si="1"/>
        <v>0.28999999999999998</v>
      </c>
      <c r="I19" s="16">
        <f t="shared" si="2"/>
        <v>1E-3</v>
      </c>
      <c r="J19" s="16">
        <f>ROUND(G19/257-1,2)</f>
        <v>0.08</v>
      </c>
    </row>
    <row r="20" spans="1:10" x14ac:dyDescent="0.25">
      <c r="A20" s="1" t="s">
        <v>16</v>
      </c>
      <c r="B20" s="1" t="s">
        <v>28</v>
      </c>
      <c r="C20" s="11"/>
      <c r="D20" s="11"/>
      <c r="E20" s="11">
        <v>189</v>
      </c>
      <c r="F20" s="11"/>
      <c r="G20" s="11">
        <f t="shared" si="0"/>
        <v>189</v>
      </c>
      <c r="H20" s="17">
        <f t="shared" si="1"/>
        <v>0.2</v>
      </c>
      <c r="I20" s="16">
        <f t="shared" si="2"/>
        <v>0</v>
      </c>
      <c r="J20" s="16">
        <f>ROUND(G20/107-1,2)</f>
        <v>0.77</v>
      </c>
    </row>
    <row r="21" spans="1:10" x14ac:dyDescent="0.25">
      <c r="A21" s="1" t="s">
        <v>16</v>
      </c>
      <c r="B21" s="1" t="s">
        <v>29</v>
      </c>
      <c r="C21" s="11"/>
      <c r="D21" s="11"/>
      <c r="E21" s="11">
        <v>53</v>
      </c>
      <c r="F21" s="11"/>
      <c r="G21" s="11">
        <f t="shared" si="0"/>
        <v>53</v>
      </c>
      <c r="H21" s="17">
        <f t="shared" si="1"/>
        <v>0.06</v>
      </c>
      <c r="I21" s="16">
        <f t="shared" si="2"/>
        <v>0</v>
      </c>
      <c r="J21" s="16">
        <f>ROUND(G21/46-1,2)</f>
        <v>0.15</v>
      </c>
    </row>
    <row r="22" spans="1:10" x14ac:dyDescent="0.25">
      <c r="A22" s="1" t="s">
        <v>16</v>
      </c>
      <c r="B22" s="1" t="s">
        <v>30</v>
      </c>
      <c r="C22" s="11"/>
      <c r="D22" s="11"/>
      <c r="E22" s="11">
        <v>1464</v>
      </c>
      <c r="F22" s="11"/>
      <c r="G22" s="11">
        <f t="shared" si="0"/>
        <v>1464</v>
      </c>
      <c r="H22" s="17">
        <f t="shared" si="1"/>
        <v>1.53</v>
      </c>
      <c r="I22" s="16">
        <f t="shared" si="2"/>
        <v>4.0000000000000001E-3</v>
      </c>
      <c r="J22" s="16">
        <f>ROUND(G22/1526-1,2)</f>
        <v>-0.04</v>
      </c>
    </row>
    <row r="23" spans="1:10" x14ac:dyDescent="0.25">
      <c r="A23" s="1" t="s">
        <v>16</v>
      </c>
      <c r="B23" s="1" t="s">
        <v>31</v>
      </c>
      <c r="C23" s="11"/>
      <c r="D23" s="11"/>
      <c r="E23" s="11">
        <v>366</v>
      </c>
      <c r="F23" s="11"/>
      <c r="G23" s="11">
        <f t="shared" si="0"/>
        <v>366</v>
      </c>
      <c r="H23" s="17">
        <f t="shared" si="1"/>
        <v>0.38</v>
      </c>
      <c r="I23" s="16">
        <f t="shared" si="2"/>
        <v>1E-3</v>
      </c>
      <c r="J23" s="16">
        <f>ROUND(G23/405-1,2)</f>
        <v>-0.1</v>
      </c>
    </row>
    <row r="24" spans="1:10" x14ac:dyDescent="0.25">
      <c r="A24" s="1" t="s">
        <v>16</v>
      </c>
      <c r="B24" s="1" t="s">
        <v>32</v>
      </c>
      <c r="C24" s="11"/>
      <c r="D24" s="11"/>
      <c r="E24" s="11">
        <v>180</v>
      </c>
      <c r="F24" s="11"/>
      <c r="G24" s="11">
        <f t="shared" si="0"/>
        <v>180</v>
      </c>
      <c r="H24" s="17">
        <f t="shared" si="1"/>
        <v>0.19</v>
      </c>
      <c r="I24" s="16">
        <f t="shared" si="2"/>
        <v>0</v>
      </c>
      <c r="J24" s="16">
        <f>ROUND(G24/144-1,2)</f>
        <v>0.25</v>
      </c>
    </row>
    <row r="25" spans="1:10" x14ac:dyDescent="0.25">
      <c r="A25" s="1" t="s">
        <v>16</v>
      </c>
      <c r="B25" s="1" t="s">
        <v>33</v>
      </c>
      <c r="C25" s="11"/>
      <c r="D25" s="11"/>
      <c r="E25" s="11">
        <v>870</v>
      </c>
      <c r="F25" s="11"/>
      <c r="G25" s="11">
        <f t="shared" si="0"/>
        <v>870</v>
      </c>
      <c r="H25" s="17">
        <f t="shared" si="1"/>
        <v>0.91</v>
      </c>
      <c r="I25" s="16">
        <f t="shared" si="2"/>
        <v>2E-3</v>
      </c>
      <c r="J25" s="16">
        <f>ROUND(G25/478-1,2)</f>
        <v>0.82</v>
      </c>
    </row>
    <row r="26" spans="1:10" x14ac:dyDescent="0.25">
      <c r="A26" s="1" t="s">
        <v>16</v>
      </c>
      <c r="B26" s="1" t="s">
        <v>34</v>
      </c>
      <c r="C26" s="11"/>
      <c r="D26" s="11"/>
      <c r="E26" s="11">
        <v>47</v>
      </c>
      <c r="F26" s="11"/>
      <c r="G26" s="11">
        <f t="shared" si="0"/>
        <v>47</v>
      </c>
      <c r="H26" s="17">
        <f t="shared" si="1"/>
        <v>0.05</v>
      </c>
      <c r="I26" s="16">
        <f t="shared" si="2"/>
        <v>0</v>
      </c>
      <c r="J26" s="16">
        <f>ROUND(G26/154-1,2)</f>
        <v>-0.69</v>
      </c>
    </row>
    <row r="27" spans="1:10" x14ac:dyDescent="0.25">
      <c r="A27" s="1" t="s">
        <v>16</v>
      </c>
      <c r="B27" s="1" t="s">
        <v>36</v>
      </c>
      <c r="C27" s="11"/>
      <c r="D27" s="11"/>
      <c r="E27" s="11">
        <v>61</v>
      </c>
      <c r="F27" s="11"/>
      <c r="G27" s="11">
        <f t="shared" si="0"/>
        <v>61</v>
      </c>
      <c r="H27" s="17">
        <f t="shared" si="1"/>
        <v>0.06</v>
      </c>
      <c r="I27" s="16">
        <f t="shared" si="2"/>
        <v>0</v>
      </c>
      <c r="J27" s="16">
        <f>ROUND(G27/250-1,2)</f>
        <v>-0.76</v>
      </c>
    </row>
    <row r="28" spans="1:10" x14ac:dyDescent="0.25">
      <c r="A28" s="1" t="s">
        <v>16</v>
      </c>
      <c r="B28" s="1" t="s">
        <v>35</v>
      </c>
      <c r="C28" s="11"/>
      <c r="D28" s="11"/>
      <c r="E28" s="11">
        <v>837</v>
      </c>
      <c r="F28" s="11"/>
      <c r="G28" s="11">
        <f t="shared" si="0"/>
        <v>837</v>
      </c>
      <c r="H28" s="17">
        <f t="shared" si="1"/>
        <v>0.88</v>
      </c>
      <c r="I28" s="16">
        <f t="shared" si="2"/>
        <v>2E-3</v>
      </c>
      <c r="J28" s="16">
        <f>ROUND(G28/616-1,2)</f>
        <v>0.36</v>
      </c>
    </row>
    <row r="29" spans="1:10" x14ac:dyDescent="0.25">
      <c r="A29" s="1" t="s">
        <v>16</v>
      </c>
      <c r="B29" s="1" t="s">
        <v>37</v>
      </c>
      <c r="C29" s="11"/>
      <c r="D29" s="11"/>
      <c r="E29" s="11">
        <v>809</v>
      </c>
      <c r="F29" s="11"/>
      <c r="G29" s="11">
        <f t="shared" si="0"/>
        <v>809</v>
      </c>
      <c r="H29" s="17">
        <f t="shared" si="1"/>
        <v>0.85</v>
      </c>
      <c r="I29" s="16">
        <f t="shared" si="2"/>
        <v>2E-3</v>
      </c>
      <c r="J29" s="16">
        <f>ROUND(G29/1095-1,2)</f>
        <v>-0.26</v>
      </c>
    </row>
    <row r="30" spans="1:10" x14ac:dyDescent="0.25">
      <c r="A30" s="1" t="s">
        <v>16</v>
      </c>
      <c r="B30" s="1" t="s">
        <v>38</v>
      </c>
      <c r="C30" s="11"/>
      <c r="D30" s="11"/>
      <c r="E30" s="11">
        <v>1587</v>
      </c>
      <c r="F30" s="11"/>
      <c r="G30" s="11">
        <f t="shared" si="0"/>
        <v>1587</v>
      </c>
      <c r="H30" s="17">
        <f t="shared" si="1"/>
        <v>1.66</v>
      </c>
      <c r="I30" s="16">
        <f t="shared" si="2"/>
        <v>4.0000000000000001E-3</v>
      </c>
      <c r="J30" s="16">
        <f>ROUND(G30/2367-1,2)</f>
        <v>-0.33</v>
      </c>
    </row>
    <row r="31" spans="1:10" x14ac:dyDescent="0.25">
      <c r="A31" s="1" t="s">
        <v>16</v>
      </c>
      <c r="B31" s="1" t="s">
        <v>39</v>
      </c>
      <c r="C31" s="11"/>
      <c r="D31" s="11"/>
      <c r="E31" s="11">
        <v>3541</v>
      </c>
      <c r="F31" s="11"/>
      <c r="G31" s="11">
        <f t="shared" si="0"/>
        <v>3541</v>
      </c>
      <c r="H31" s="17">
        <f t="shared" si="1"/>
        <v>3.71</v>
      </c>
      <c r="I31" s="16">
        <f t="shared" si="2"/>
        <v>8.9999999999999993E-3</v>
      </c>
      <c r="J31" s="16">
        <f>ROUND(G31/3002-1,2)</f>
        <v>0.18</v>
      </c>
    </row>
    <row r="32" spans="1:10" x14ac:dyDescent="0.25">
      <c r="A32" s="1" t="s">
        <v>16</v>
      </c>
      <c r="B32" s="1" t="s">
        <v>40</v>
      </c>
      <c r="C32" s="11"/>
      <c r="D32" s="11"/>
      <c r="E32" s="11">
        <v>30169</v>
      </c>
      <c r="F32" s="11"/>
      <c r="G32" s="11">
        <f t="shared" si="0"/>
        <v>30169</v>
      </c>
      <c r="H32" s="17">
        <f t="shared" si="1"/>
        <v>31.59</v>
      </c>
      <c r="I32" s="16">
        <f t="shared" si="2"/>
        <v>7.5999999999999998E-2</v>
      </c>
      <c r="J32" s="16">
        <f>ROUND(G32/35711-1,2)</f>
        <v>-0.16</v>
      </c>
    </row>
    <row r="33" spans="1:10" x14ac:dyDescent="0.25">
      <c r="A33" s="1" t="s">
        <v>16</v>
      </c>
      <c r="B33" s="1" t="s">
        <v>41</v>
      </c>
      <c r="C33" s="11"/>
      <c r="D33" s="11"/>
      <c r="E33" s="11">
        <v>2878</v>
      </c>
      <c r="F33" s="11"/>
      <c r="G33" s="11">
        <f t="shared" si="0"/>
        <v>2878</v>
      </c>
      <c r="H33" s="17">
        <f t="shared" si="1"/>
        <v>3.01</v>
      </c>
      <c r="I33" s="16">
        <f t="shared" si="2"/>
        <v>7.0000000000000001E-3</v>
      </c>
      <c r="J33" s="16">
        <f>ROUND(G33/2866-1,2)</f>
        <v>0</v>
      </c>
    </row>
    <row r="34" spans="1:10" x14ac:dyDescent="0.25">
      <c r="A34" s="1" t="s">
        <v>16</v>
      </c>
      <c r="B34" s="1" t="s">
        <v>42</v>
      </c>
      <c r="C34" s="11"/>
      <c r="D34" s="11"/>
      <c r="E34" s="11">
        <v>12022</v>
      </c>
      <c r="F34" s="11"/>
      <c r="G34" s="11">
        <f t="shared" si="0"/>
        <v>12022</v>
      </c>
      <c r="H34" s="17">
        <f t="shared" si="1"/>
        <v>12.59</v>
      </c>
      <c r="I34" s="16">
        <f t="shared" si="2"/>
        <v>0.03</v>
      </c>
      <c r="J34" s="16">
        <f>ROUND(G34/11587-1,2)</f>
        <v>0.04</v>
      </c>
    </row>
    <row r="35" spans="1:10" x14ac:dyDescent="0.25">
      <c r="A35" s="1" t="s">
        <v>16</v>
      </c>
      <c r="B35" s="1" t="s">
        <v>43</v>
      </c>
      <c r="C35" s="11"/>
      <c r="D35" s="11"/>
      <c r="E35" s="11">
        <v>19</v>
      </c>
      <c r="F35" s="11"/>
      <c r="G35" s="11">
        <f t="shared" si="0"/>
        <v>19</v>
      </c>
      <c r="H35" s="17">
        <f t="shared" si="1"/>
        <v>0.02</v>
      </c>
      <c r="I35" s="16">
        <f t="shared" si="2"/>
        <v>0</v>
      </c>
      <c r="J35" s="16"/>
    </row>
    <row r="36" spans="1:10" x14ac:dyDescent="0.25">
      <c r="A36" s="1" t="s">
        <v>16</v>
      </c>
      <c r="B36" s="1" t="s">
        <v>44</v>
      </c>
      <c r="C36" s="11"/>
      <c r="D36" s="11"/>
      <c r="E36" s="11">
        <v>23011</v>
      </c>
      <c r="F36" s="11"/>
      <c r="G36" s="11">
        <f t="shared" si="0"/>
        <v>23011</v>
      </c>
      <c r="H36" s="17">
        <f t="shared" si="1"/>
        <v>24.1</v>
      </c>
      <c r="I36" s="16">
        <f t="shared" si="2"/>
        <v>5.8000000000000003E-2</v>
      </c>
      <c r="J36" s="16">
        <f>ROUND(G36/21625-1,2)</f>
        <v>0.06</v>
      </c>
    </row>
    <row r="37" spans="1:10" x14ac:dyDescent="0.25">
      <c r="A37" s="1" t="s">
        <v>16</v>
      </c>
      <c r="B37" s="1" t="s">
        <v>121</v>
      </c>
      <c r="C37" s="11"/>
      <c r="D37" s="11"/>
      <c r="E37" s="11"/>
      <c r="F37" s="11"/>
      <c r="G37" s="11">
        <f t="shared" si="0"/>
        <v>0</v>
      </c>
      <c r="H37" s="17">
        <f t="shared" si="1"/>
        <v>0</v>
      </c>
      <c r="I37" s="16">
        <f t="shared" si="2"/>
        <v>0</v>
      </c>
      <c r="J37" s="16"/>
    </row>
    <row r="38" spans="1:10" x14ac:dyDescent="0.25">
      <c r="A38" s="1" t="s">
        <v>45</v>
      </c>
      <c r="B38" s="1" t="s">
        <v>46</v>
      </c>
      <c r="C38" s="11">
        <v>86240</v>
      </c>
      <c r="D38" s="11"/>
      <c r="E38" s="11"/>
      <c r="F38" s="11"/>
      <c r="G38" s="11">
        <f t="shared" si="0"/>
        <v>86240</v>
      </c>
      <c r="H38" s="17">
        <f t="shared" si="1"/>
        <v>90.3</v>
      </c>
      <c r="I38" s="16">
        <f t="shared" si="2"/>
        <v>0.218</v>
      </c>
      <c r="J38" s="16">
        <f>ROUND(G38/86030-1,2)</f>
        <v>0</v>
      </c>
    </row>
    <row r="39" spans="1:10" x14ac:dyDescent="0.25">
      <c r="A39" s="1" t="s">
        <v>45</v>
      </c>
      <c r="B39" s="1" t="s">
        <v>47</v>
      </c>
      <c r="C39" s="11"/>
      <c r="D39" s="11"/>
      <c r="E39" s="11">
        <v>23517</v>
      </c>
      <c r="F39" s="11"/>
      <c r="G39" s="11">
        <f t="shared" si="0"/>
        <v>23517</v>
      </c>
      <c r="H39" s="17">
        <f t="shared" si="1"/>
        <v>24.63</v>
      </c>
      <c r="I39" s="16">
        <f t="shared" si="2"/>
        <v>5.8999999999999997E-2</v>
      </c>
      <c r="J39" s="16">
        <f>ROUND(G39/25594-1,2)</f>
        <v>-0.08</v>
      </c>
    </row>
    <row r="40" spans="1:10" x14ac:dyDescent="0.25">
      <c r="A40" s="1" t="s">
        <v>45</v>
      </c>
      <c r="B40" s="1" t="s">
        <v>48</v>
      </c>
      <c r="C40" s="11"/>
      <c r="D40" s="11"/>
      <c r="E40" s="11"/>
      <c r="F40" s="11"/>
      <c r="G40" s="11">
        <f t="shared" si="0"/>
        <v>0</v>
      </c>
      <c r="H40" s="17">
        <f t="shared" si="1"/>
        <v>0</v>
      </c>
      <c r="I40" s="16">
        <f t="shared" si="2"/>
        <v>0</v>
      </c>
      <c r="J40" s="16"/>
    </row>
    <row r="41" spans="1:10" x14ac:dyDescent="0.25">
      <c r="A41" s="1" t="s">
        <v>49</v>
      </c>
      <c r="B41" s="1" t="s">
        <v>88</v>
      </c>
      <c r="C41" s="11"/>
      <c r="D41" s="11"/>
      <c r="E41" s="11"/>
      <c r="F41" s="11"/>
      <c r="G41" s="11">
        <f t="shared" si="0"/>
        <v>0</v>
      </c>
      <c r="H41" s="17">
        <f t="shared" si="1"/>
        <v>0</v>
      </c>
      <c r="I41" s="16">
        <f t="shared" si="2"/>
        <v>0</v>
      </c>
      <c r="J41" s="16"/>
    </row>
    <row r="42" spans="1:10" x14ac:dyDescent="0.25">
      <c r="A42" s="1" t="s">
        <v>49</v>
      </c>
      <c r="B42" s="1" t="s">
        <v>52</v>
      </c>
      <c r="C42" s="11"/>
      <c r="D42" s="11"/>
      <c r="E42" s="11"/>
      <c r="F42" s="11"/>
      <c r="G42" s="11">
        <f t="shared" si="0"/>
        <v>0</v>
      </c>
      <c r="H42" s="17">
        <f t="shared" si="1"/>
        <v>0</v>
      </c>
      <c r="I42" s="16">
        <f t="shared" si="2"/>
        <v>0</v>
      </c>
      <c r="J42" s="16"/>
    </row>
    <row r="43" spans="1:10" x14ac:dyDescent="0.25">
      <c r="A43" s="26" t="s">
        <v>12</v>
      </c>
      <c r="B43" s="26"/>
      <c r="C43" s="12">
        <f t="shared" ref="C43:H43" si="3">SUM(C8:C42)</f>
        <v>232910</v>
      </c>
      <c r="D43" s="12">
        <f t="shared" si="3"/>
        <v>0</v>
      </c>
      <c r="E43" s="12">
        <f t="shared" si="3"/>
        <v>162349</v>
      </c>
      <c r="F43" s="12">
        <f t="shared" si="3"/>
        <v>40</v>
      </c>
      <c r="G43" s="12">
        <f t="shared" si="3"/>
        <v>395299</v>
      </c>
      <c r="H43" s="15">
        <f t="shared" si="3"/>
        <v>413.93999999999994</v>
      </c>
      <c r="I43" s="18"/>
      <c r="J43" s="18"/>
    </row>
    <row r="44" spans="1:10" x14ac:dyDescent="0.25">
      <c r="A44" s="26" t="s">
        <v>14</v>
      </c>
      <c r="B44" s="26"/>
      <c r="C44" s="13">
        <f>ROUND(C43/G43,2)</f>
        <v>0.59</v>
      </c>
      <c r="D44" s="13">
        <f>ROUND(D43/G43,2)</f>
        <v>0</v>
      </c>
      <c r="E44" s="13">
        <f>ROUND(E43/G43,2)</f>
        <v>0.41</v>
      </c>
      <c r="F44" s="13">
        <f>ROUND(F43/G43,2)</f>
        <v>0</v>
      </c>
      <c r="G44" s="14"/>
      <c r="H44" s="14"/>
      <c r="I44" s="18"/>
      <c r="J44" s="18"/>
    </row>
    <row r="45" spans="1:10" x14ac:dyDescent="0.25">
      <c r="A45" s="2" t="s">
        <v>53</v>
      </c>
      <c r="B45" s="2"/>
      <c r="C45" s="14"/>
      <c r="D45" s="14"/>
      <c r="E45" s="14"/>
      <c r="F45" s="14"/>
      <c r="G45" s="14"/>
      <c r="H45" s="14"/>
      <c r="I45" s="18"/>
      <c r="J45" s="18"/>
    </row>
    <row r="46" spans="1:10" x14ac:dyDescent="0.25">
      <c r="C46" s="9"/>
      <c r="D46" s="9"/>
      <c r="E46" s="9"/>
      <c r="F46" s="9"/>
      <c r="G46" s="9"/>
      <c r="H46" s="9"/>
      <c r="I46" s="10"/>
      <c r="J46" s="10"/>
    </row>
    <row r="47" spans="1:10" x14ac:dyDescent="0.25">
      <c r="C47" s="9"/>
      <c r="D47" s="9"/>
      <c r="E47" s="9"/>
      <c r="F47" s="9"/>
      <c r="G47" s="9"/>
      <c r="H47" s="9"/>
      <c r="I47" s="10"/>
      <c r="J47" s="10"/>
    </row>
    <row r="48" spans="1:10" x14ac:dyDescent="0.25">
      <c r="C48" s="9"/>
      <c r="D48" s="9"/>
      <c r="E48" s="9"/>
      <c r="F48" s="9"/>
      <c r="G48" s="9"/>
      <c r="H48" s="9"/>
      <c r="I48" s="10"/>
      <c r="J48" s="10"/>
    </row>
    <row r="49" spans="1:10" x14ac:dyDescent="0.25">
      <c r="A49" s="26" t="s">
        <v>54</v>
      </c>
      <c r="B49" s="26"/>
      <c r="C49" s="12" t="s">
        <v>8</v>
      </c>
      <c r="D49" s="12" t="s">
        <v>9</v>
      </c>
      <c r="E49" s="12" t="s">
        <v>10</v>
      </c>
      <c r="F49" s="12" t="s">
        <v>11</v>
      </c>
      <c r="G49" s="12" t="s">
        <v>12</v>
      </c>
      <c r="H49" s="15" t="s">
        <v>13</v>
      </c>
      <c r="I49" s="18"/>
      <c r="J49" s="18"/>
    </row>
    <row r="50" spans="1:10" x14ac:dyDescent="0.25">
      <c r="A50" s="21" t="s">
        <v>55</v>
      </c>
      <c r="B50" s="21"/>
      <c r="C50" s="11">
        <v>146670</v>
      </c>
      <c r="D50" s="11">
        <v>0</v>
      </c>
      <c r="E50" s="11">
        <v>138832</v>
      </c>
      <c r="F50" s="11">
        <v>40</v>
      </c>
      <c r="G50" s="11">
        <f>SUM(C50:F50)</f>
        <v>285542</v>
      </c>
      <c r="H50" s="17">
        <f>ROUND(G50/955,2)</f>
        <v>299</v>
      </c>
      <c r="I50" s="10"/>
      <c r="J50" s="10"/>
    </row>
    <row r="51" spans="1:10" x14ac:dyDescent="0.25">
      <c r="A51" s="21" t="s">
        <v>56</v>
      </c>
      <c r="B51" s="21"/>
      <c r="C51" s="11">
        <v>86240</v>
      </c>
      <c r="D51" s="11">
        <v>0</v>
      </c>
      <c r="E51" s="11">
        <v>23517</v>
      </c>
      <c r="F51" s="11">
        <v>0</v>
      </c>
      <c r="G51" s="11">
        <f>SUM(C51:F51)</f>
        <v>109757</v>
      </c>
      <c r="H51" s="17">
        <f>ROUND(G51/955,2)</f>
        <v>114.93</v>
      </c>
      <c r="I51" s="10"/>
      <c r="J51" s="10"/>
    </row>
    <row r="52" spans="1:10" x14ac:dyDescent="0.25">
      <c r="A52" s="21" t="s">
        <v>57</v>
      </c>
      <c r="B52" s="21"/>
      <c r="C52" s="11">
        <v>0</v>
      </c>
      <c r="D52" s="11">
        <v>0</v>
      </c>
      <c r="E52" s="11">
        <v>0</v>
      </c>
      <c r="F52" s="11">
        <v>0</v>
      </c>
      <c r="G52" s="11">
        <f>SUM(C52:F52)</f>
        <v>0</v>
      </c>
      <c r="H52" s="17">
        <f>ROUND(G52/955,2)</f>
        <v>0</v>
      </c>
      <c r="I52" s="10"/>
      <c r="J52" s="10"/>
    </row>
    <row r="53" spans="1:10" x14ac:dyDescent="0.25">
      <c r="C53" s="9"/>
      <c r="D53" s="9"/>
      <c r="E53" s="9"/>
      <c r="F53" s="9"/>
      <c r="G53" s="9"/>
      <c r="H53" s="9"/>
      <c r="I53" s="10"/>
      <c r="J53" s="10"/>
    </row>
    <row r="54" spans="1:10" x14ac:dyDescent="0.25">
      <c r="C54" s="9"/>
      <c r="D54" s="9"/>
      <c r="E54" s="9"/>
      <c r="F54" s="9"/>
      <c r="G54" s="9"/>
      <c r="H54" s="9"/>
      <c r="I54" s="10"/>
      <c r="J54" s="10"/>
    </row>
    <row r="55" spans="1:10" x14ac:dyDescent="0.25">
      <c r="C55" s="9"/>
      <c r="D55" s="9"/>
      <c r="E55" s="9"/>
      <c r="F55" s="9"/>
      <c r="G55" s="9"/>
      <c r="H55" s="9"/>
      <c r="I55" s="10"/>
      <c r="J55" s="10"/>
    </row>
    <row r="56" spans="1:10" x14ac:dyDescent="0.25">
      <c r="C56" s="9"/>
      <c r="D56" s="9"/>
      <c r="E56" s="9"/>
      <c r="F56" s="9"/>
      <c r="G56" s="9"/>
      <c r="H56" s="9"/>
      <c r="I56" s="10"/>
      <c r="J56" s="10"/>
    </row>
    <row r="57" spans="1:10" x14ac:dyDescent="0.25">
      <c r="A57" s="26" t="s">
        <v>58</v>
      </c>
      <c r="B57" s="26"/>
      <c r="C57" s="15" t="s">
        <v>2</v>
      </c>
      <c r="D57" s="15">
        <v>2024</v>
      </c>
      <c r="E57" s="15" t="s">
        <v>60</v>
      </c>
      <c r="F57" s="14"/>
      <c r="G57" s="15" t="s">
        <v>61</v>
      </c>
      <c r="H57" s="15" t="s">
        <v>2</v>
      </c>
      <c r="I57" s="13" t="s">
        <v>62</v>
      </c>
      <c r="J57" s="13" t="s">
        <v>60</v>
      </c>
    </row>
    <row r="58" spans="1:10" x14ac:dyDescent="0.25">
      <c r="A58" s="21" t="s">
        <v>59</v>
      </c>
      <c r="B58" s="21"/>
      <c r="C58" s="16">
        <f>ROUND(0.7619, 4)</f>
        <v>0.76190000000000002</v>
      </c>
      <c r="D58" s="16">
        <f>ROUND(0.7701, 4)</f>
        <v>0.77010000000000001</v>
      </c>
      <c r="E58" s="16">
        <f>ROUND(0.7856, 4)</f>
        <v>0.78559999999999997</v>
      </c>
      <c r="F58" s="9"/>
      <c r="G58" s="15" t="s">
        <v>63</v>
      </c>
      <c r="H58" s="27" t="s">
        <v>64</v>
      </c>
      <c r="I58" s="24" t="s">
        <v>65</v>
      </c>
      <c r="J58" s="24" t="s">
        <v>66</v>
      </c>
    </row>
    <row r="59" spans="1:10" x14ac:dyDescent="0.25">
      <c r="A59" s="21" t="s">
        <v>67</v>
      </c>
      <c r="B59" s="21"/>
      <c r="C59" s="16">
        <f>ROUND(0.7619, 4)</f>
        <v>0.76190000000000002</v>
      </c>
      <c r="D59" s="16">
        <f>ROUND(0.7302, 4)</f>
        <v>0.73019999999999996</v>
      </c>
      <c r="E59" s="16">
        <f>ROUND(0.7702, 4)</f>
        <v>0.7702</v>
      </c>
      <c r="F59" s="9"/>
      <c r="G59" s="15" t="s">
        <v>68</v>
      </c>
      <c r="H59" s="28"/>
      <c r="I59" s="25"/>
      <c r="J59" s="25"/>
    </row>
    <row r="60" spans="1:10" x14ac:dyDescent="0.25">
      <c r="C60" s="9"/>
      <c r="D60" s="9"/>
      <c r="E60" s="9"/>
      <c r="F60" s="9"/>
      <c r="G60" s="9"/>
      <c r="H60" s="9"/>
      <c r="I60" s="10"/>
      <c r="J60" s="10"/>
    </row>
    <row r="61" spans="1:10" x14ac:dyDescent="0.25">
      <c r="C61" s="9"/>
      <c r="D61" s="9"/>
      <c r="E61" s="9"/>
      <c r="F61" s="9"/>
      <c r="G61" s="9"/>
      <c r="H61" s="9"/>
      <c r="I61" s="10"/>
      <c r="J61" s="10"/>
    </row>
    <row r="62" spans="1:10" x14ac:dyDescent="0.25">
      <c r="C62" s="9"/>
      <c r="D62" s="9"/>
      <c r="E62" s="9"/>
      <c r="F62" s="9"/>
      <c r="G62" s="9"/>
      <c r="H62" s="9"/>
      <c r="I62" s="10"/>
      <c r="J62" s="10"/>
    </row>
    <row r="63" spans="1:10" x14ac:dyDescent="0.25">
      <c r="A63" s="26" t="s">
        <v>69</v>
      </c>
      <c r="B63" s="26"/>
      <c r="C63" s="15" t="s">
        <v>2</v>
      </c>
      <c r="D63" s="15" t="s">
        <v>122</v>
      </c>
      <c r="E63" s="15" t="s">
        <v>71</v>
      </c>
      <c r="F63" s="15" t="s">
        <v>72</v>
      </c>
      <c r="G63" s="15" t="s">
        <v>73</v>
      </c>
      <c r="H63" s="14"/>
      <c r="I63" s="18"/>
      <c r="J63" s="18"/>
    </row>
    <row r="64" spans="1:10" x14ac:dyDescent="0.25">
      <c r="A64" s="21" t="s">
        <v>74</v>
      </c>
      <c r="B64" s="21"/>
      <c r="C64" s="17">
        <v>90.3</v>
      </c>
      <c r="D64" s="17">
        <v>83.75</v>
      </c>
      <c r="E64" s="17">
        <v>96.15</v>
      </c>
      <c r="F64" s="17">
        <v>57.94</v>
      </c>
      <c r="G64" s="17">
        <f>12/12*C64</f>
        <v>90.3</v>
      </c>
      <c r="H64" s="9"/>
      <c r="I64" s="10"/>
      <c r="J64" s="10"/>
    </row>
    <row r="65" spans="1:10" x14ac:dyDescent="0.25">
      <c r="A65" s="21" t="s">
        <v>75</v>
      </c>
      <c r="B65" s="21"/>
      <c r="C65" s="17">
        <v>48.65</v>
      </c>
      <c r="D65" s="17">
        <v>48.17</v>
      </c>
      <c r="E65" s="17">
        <v>62.28</v>
      </c>
      <c r="F65" s="17">
        <v>66.599999999999994</v>
      </c>
      <c r="G65" s="17">
        <f>12/12*C65</f>
        <v>48.65</v>
      </c>
      <c r="H65" s="9"/>
      <c r="I65" s="10"/>
      <c r="J65" s="10"/>
    </row>
    <row r="66" spans="1:10" x14ac:dyDescent="0.25">
      <c r="A66" s="21" t="s">
        <v>76</v>
      </c>
      <c r="B66" s="21"/>
      <c r="C66" s="17">
        <v>299</v>
      </c>
      <c r="D66" s="17">
        <v>271.83</v>
      </c>
      <c r="E66" s="17">
        <v>300.02</v>
      </c>
      <c r="F66" s="17">
        <v>295.08</v>
      </c>
      <c r="G66" s="17">
        <f>12/12*C66</f>
        <v>299</v>
      </c>
      <c r="H66" s="9"/>
      <c r="I66" s="10"/>
      <c r="J66" s="10"/>
    </row>
    <row r="67" spans="1:10" x14ac:dyDescent="0.25">
      <c r="A67" s="21" t="s">
        <v>77</v>
      </c>
      <c r="B67" s="21"/>
      <c r="C67" s="17">
        <v>114.93</v>
      </c>
      <c r="D67" s="17">
        <v>105.08</v>
      </c>
      <c r="E67" s="17">
        <v>120.96</v>
      </c>
      <c r="F67" s="17">
        <v>83.12</v>
      </c>
      <c r="G67" s="17">
        <f>12/12*C67</f>
        <v>114.93</v>
      </c>
      <c r="H67" s="9"/>
      <c r="I67" s="10"/>
      <c r="J67" s="10"/>
    </row>
    <row r="68" spans="1:10" x14ac:dyDescent="0.25">
      <c r="C68" s="9"/>
      <c r="D68" s="9"/>
      <c r="E68" s="9"/>
      <c r="F68" s="9"/>
      <c r="G68" s="9"/>
      <c r="H68" s="9"/>
      <c r="I68" s="10"/>
      <c r="J68" s="10"/>
    </row>
    <row r="69" spans="1:10" x14ac:dyDescent="0.25">
      <c r="C69" s="9"/>
      <c r="D69" s="9"/>
      <c r="E69" s="9"/>
      <c r="F69" s="9"/>
      <c r="G69" s="9"/>
      <c r="H69" s="9"/>
      <c r="I69" s="10"/>
      <c r="J69" s="10"/>
    </row>
    <row r="70" spans="1:10" x14ac:dyDescent="0.25">
      <c r="A70" s="22" t="s">
        <v>61</v>
      </c>
      <c r="B70" s="23"/>
      <c r="C70" s="9"/>
      <c r="D70" s="9"/>
      <c r="E70" s="9"/>
      <c r="F70" s="9"/>
      <c r="G70" s="9"/>
      <c r="H70" s="9"/>
      <c r="I70" s="10"/>
      <c r="J70" s="10"/>
    </row>
    <row r="71" spans="1:10" x14ac:dyDescent="0.25">
      <c r="A71" s="3" t="s">
        <v>78</v>
      </c>
      <c r="B71" s="1" t="s">
        <v>123</v>
      </c>
      <c r="C71" s="9"/>
      <c r="D71" s="9"/>
      <c r="E71" s="9"/>
      <c r="F71" s="9"/>
      <c r="G71" s="9"/>
      <c r="H71" s="9"/>
      <c r="I71" s="10"/>
      <c r="J71" s="10"/>
    </row>
    <row r="72" spans="1:10" x14ac:dyDescent="0.25">
      <c r="A72" s="3" t="s">
        <v>71</v>
      </c>
      <c r="B72" s="1" t="s">
        <v>80</v>
      </c>
    </row>
    <row r="73" spans="1:10" x14ac:dyDescent="0.25">
      <c r="A73" s="3" t="s">
        <v>72</v>
      </c>
      <c r="B73" s="1" t="s">
        <v>81</v>
      </c>
    </row>
    <row r="74" spans="1:10" x14ac:dyDescent="0.25">
      <c r="A74" s="3" t="s">
        <v>73</v>
      </c>
      <c r="B74" s="1" t="s">
        <v>82</v>
      </c>
    </row>
  </sheetData>
  <mergeCells count="19">
    <mergeCell ref="C7:G7"/>
    <mergeCell ref="A43:B43"/>
    <mergeCell ref="A44:B44"/>
    <mergeCell ref="A49:B49"/>
    <mergeCell ref="A50:B50"/>
    <mergeCell ref="J58:J59"/>
    <mergeCell ref="A59:B59"/>
    <mergeCell ref="A63:B63"/>
    <mergeCell ref="A64:B64"/>
    <mergeCell ref="A51:B51"/>
    <mergeCell ref="A52:B52"/>
    <mergeCell ref="A57:B57"/>
    <mergeCell ref="A58:B58"/>
    <mergeCell ref="H58:H59"/>
    <mergeCell ref="A65:B65"/>
    <mergeCell ref="A66:B66"/>
    <mergeCell ref="A67:B67"/>
    <mergeCell ref="A70:B70"/>
    <mergeCell ref="I58:I5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J81"/>
  <sheetViews>
    <sheetView workbookViewId="0">
      <selection activeCell="H5" sqref="H5"/>
    </sheetView>
  </sheetViews>
  <sheetFormatPr defaultRowHeight="15" x14ac:dyDescent="0.25"/>
  <cols>
    <col min="1" max="1" width="28.42578125" bestFit="1" customWidth="1"/>
    <col min="2" max="2" width="59.5703125" bestFit="1" customWidth="1"/>
    <col min="3" max="3" width="12.7109375" bestFit="1" customWidth="1"/>
    <col min="4" max="4" width="25.7109375" bestFit="1" customWidth="1"/>
    <col min="5" max="5" width="13.85546875" bestFit="1" customWidth="1"/>
    <col min="6" max="6" width="8.5703125" bestFit="1" customWidth="1"/>
    <col min="7" max="7" width="47.7109375" bestFit="1" customWidth="1"/>
    <col min="8" max="9" width="16.7109375" bestFit="1" customWidth="1"/>
    <col min="10" max="10" width="24.42578125" bestFit="1" customWidth="1"/>
  </cols>
  <sheetData>
    <row r="2" spans="1:10" ht="18.75" x14ac:dyDescent="0.3">
      <c r="A2" s="3" t="s">
        <v>0</v>
      </c>
      <c r="B2" s="4" t="s">
        <v>124</v>
      </c>
    </row>
    <row r="3" spans="1:10" x14ac:dyDescent="0.25">
      <c r="A3" s="3" t="s">
        <v>2</v>
      </c>
      <c r="B3" s="1" t="s">
        <v>3</v>
      </c>
    </row>
    <row r="4" spans="1:10" x14ac:dyDescent="0.25">
      <c r="A4" s="3" t="s">
        <v>4</v>
      </c>
      <c r="B4" s="20">
        <v>640</v>
      </c>
    </row>
    <row r="7" spans="1:10" x14ac:dyDescent="0.25">
      <c r="C7" s="22" t="s">
        <v>5</v>
      </c>
      <c r="D7" s="21"/>
      <c r="E7" s="21"/>
      <c r="F7" s="21"/>
      <c r="G7" s="21"/>
    </row>
    <row r="8" spans="1:10" x14ac:dyDescent="0.25">
      <c r="A8" s="3" t="s">
        <v>6</v>
      </c>
      <c r="B8" s="3" t="s">
        <v>7</v>
      </c>
      <c r="C8" s="15" t="s">
        <v>8</v>
      </c>
      <c r="D8" s="15" t="s">
        <v>9</v>
      </c>
      <c r="E8" s="15" t="s">
        <v>10</v>
      </c>
      <c r="F8" s="15" t="s">
        <v>11</v>
      </c>
      <c r="G8" s="15" t="s">
        <v>12</v>
      </c>
      <c r="H8" s="15" t="s">
        <v>13</v>
      </c>
      <c r="I8" s="15" t="s">
        <v>14</v>
      </c>
      <c r="J8" s="15" t="s">
        <v>15</v>
      </c>
    </row>
    <row r="9" spans="1:10" x14ac:dyDescent="0.25">
      <c r="A9" s="1" t="s">
        <v>16</v>
      </c>
      <c r="B9" s="1" t="s">
        <v>17</v>
      </c>
      <c r="C9" s="11"/>
      <c r="D9" s="11"/>
      <c r="E9" s="11">
        <v>36</v>
      </c>
      <c r="F9" s="11"/>
      <c r="G9" s="11">
        <f t="shared" ref="G9:G39" si="0">SUM(C9:F9)</f>
        <v>36</v>
      </c>
      <c r="H9" s="17">
        <f t="shared" ref="H9:H39" si="1">ROUND(G9/640,2)</f>
        <v>0.06</v>
      </c>
      <c r="I9" s="16">
        <f t="shared" ref="I9:I39" si="2">ROUND(G9/$G$40,3)</f>
        <v>0</v>
      </c>
      <c r="J9" s="16">
        <f>ROUND(G9/13-1,2)</f>
        <v>1.77</v>
      </c>
    </row>
    <row r="10" spans="1:10" x14ac:dyDescent="0.25">
      <c r="A10" s="1" t="s">
        <v>16</v>
      </c>
      <c r="B10" s="1" t="s">
        <v>19</v>
      </c>
      <c r="C10" s="11">
        <v>16460</v>
      </c>
      <c r="D10" s="11"/>
      <c r="E10" s="11">
        <v>2448</v>
      </c>
      <c r="F10" s="11"/>
      <c r="G10" s="11">
        <f t="shared" si="0"/>
        <v>18908</v>
      </c>
      <c r="H10" s="17">
        <f t="shared" si="1"/>
        <v>29.54</v>
      </c>
      <c r="I10" s="16">
        <f t="shared" si="2"/>
        <v>7.2999999999999995E-2</v>
      </c>
      <c r="J10" s="16">
        <f>ROUND(G10/18228-1,2)</f>
        <v>0.04</v>
      </c>
    </row>
    <row r="11" spans="1:10" x14ac:dyDescent="0.25">
      <c r="A11" s="1" t="s">
        <v>16</v>
      </c>
      <c r="B11" s="1" t="s">
        <v>20</v>
      </c>
      <c r="C11" s="11">
        <v>21520</v>
      </c>
      <c r="D11" s="11"/>
      <c r="E11" s="11"/>
      <c r="F11" s="11"/>
      <c r="G11" s="11">
        <f t="shared" si="0"/>
        <v>21520</v>
      </c>
      <c r="H11" s="17">
        <f t="shared" si="1"/>
        <v>33.630000000000003</v>
      </c>
      <c r="I11" s="16">
        <f t="shared" si="2"/>
        <v>8.3000000000000004E-2</v>
      </c>
      <c r="J11" s="16">
        <f>ROUND(G11/19265-1,2)</f>
        <v>0.12</v>
      </c>
    </row>
    <row r="12" spans="1:10" x14ac:dyDescent="0.25">
      <c r="A12" s="1" t="s">
        <v>16</v>
      </c>
      <c r="B12" s="1" t="s">
        <v>21</v>
      </c>
      <c r="C12" s="11"/>
      <c r="D12" s="11"/>
      <c r="E12" s="11">
        <v>62</v>
      </c>
      <c r="F12" s="11"/>
      <c r="G12" s="11">
        <f t="shared" si="0"/>
        <v>62</v>
      </c>
      <c r="H12" s="17">
        <f t="shared" si="1"/>
        <v>0.1</v>
      </c>
      <c r="I12" s="16">
        <f t="shared" si="2"/>
        <v>0</v>
      </c>
      <c r="J12" s="16">
        <f>ROUND(G12/98-1,2)</f>
        <v>-0.37</v>
      </c>
    </row>
    <row r="13" spans="1:10" x14ac:dyDescent="0.25">
      <c r="A13" s="1" t="s">
        <v>16</v>
      </c>
      <c r="B13" s="1" t="s">
        <v>22</v>
      </c>
      <c r="C13" s="11"/>
      <c r="D13" s="11"/>
      <c r="E13" s="11">
        <v>414</v>
      </c>
      <c r="F13" s="11"/>
      <c r="G13" s="11">
        <f t="shared" si="0"/>
        <v>414</v>
      </c>
      <c r="H13" s="17">
        <f t="shared" si="1"/>
        <v>0.65</v>
      </c>
      <c r="I13" s="16">
        <f t="shared" si="2"/>
        <v>2E-3</v>
      </c>
      <c r="J13" s="16">
        <f>ROUND(G13/727-1,2)</f>
        <v>-0.43</v>
      </c>
    </row>
    <row r="14" spans="1:10" x14ac:dyDescent="0.25">
      <c r="A14" s="1" t="s">
        <v>16</v>
      </c>
      <c r="B14" s="1" t="s">
        <v>23</v>
      </c>
      <c r="C14" s="11"/>
      <c r="D14" s="11"/>
      <c r="E14" s="11">
        <v>34975</v>
      </c>
      <c r="F14" s="11"/>
      <c r="G14" s="11">
        <f t="shared" si="0"/>
        <v>34975</v>
      </c>
      <c r="H14" s="17">
        <f t="shared" si="1"/>
        <v>54.65</v>
      </c>
      <c r="I14" s="16">
        <f t="shared" si="2"/>
        <v>0.13500000000000001</v>
      </c>
      <c r="J14" s="16">
        <f>ROUND(G14/25405-1,2)</f>
        <v>0.38</v>
      </c>
    </row>
    <row r="15" spans="1:10" x14ac:dyDescent="0.25">
      <c r="A15" s="1" t="s">
        <v>16</v>
      </c>
      <c r="B15" s="1" t="s">
        <v>24</v>
      </c>
      <c r="C15" s="11">
        <v>21280</v>
      </c>
      <c r="D15" s="11"/>
      <c r="E15" s="11">
        <v>9135</v>
      </c>
      <c r="F15" s="11"/>
      <c r="G15" s="11">
        <f t="shared" si="0"/>
        <v>30415</v>
      </c>
      <c r="H15" s="17">
        <f t="shared" si="1"/>
        <v>47.52</v>
      </c>
      <c r="I15" s="16">
        <f t="shared" si="2"/>
        <v>0.11700000000000001</v>
      </c>
      <c r="J15" s="16">
        <f>ROUND(G15/27362-1,2)</f>
        <v>0.11</v>
      </c>
    </row>
    <row r="16" spans="1:10" x14ac:dyDescent="0.25">
      <c r="A16" s="1" t="s">
        <v>16</v>
      </c>
      <c r="B16" s="1" t="s">
        <v>25</v>
      </c>
      <c r="C16" s="11"/>
      <c r="D16" s="11"/>
      <c r="E16" s="11">
        <v>2592</v>
      </c>
      <c r="F16" s="11"/>
      <c r="G16" s="11">
        <f t="shared" si="0"/>
        <v>2592</v>
      </c>
      <c r="H16" s="17">
        <f t="shared" si="1"/>
        <v>4.05</v>
      </c>
      <c r="I16" s="16">
        <f t="shared" si="2"/>
        <v>0.01</v>
      </c>
      <c r="J16" s="16">
        <f>ROUND(G16/2514-1,2)</f>
        <v>0.03</v>
      </c>
    </row>
    <row r="17" spans="1:10" x14ac:dyDescent="0.25">
      <c r="A17" s="1" t="s">
        <v>16</v>
      </c>
      <c r="B17" s="1" t="s">
        <v>26</v>
      </c>
      <c r="C17" s="11">
        <v>18990</v>
      </c>
      <c r="D17" s="11"/>
      <c r="E17" s="11"/>
      <c r="F17" s="11"/>
      <c r="G17" s="11">
        <f t="shared" si="0"/>
        <v>18990</v>
      </c>
      <c r="H17" s="17">
        <f t="shared" si="1"/>
        <v>29.67</v>
      </c>
      <c r="I17" s="16">
        <f t="shared" si="2"/>
        <v>7.2999999999999995E-2</v>
      </c>
      <c r="J17" s="16">
        <f>ROUND(G17/15630-1,2)</f>
        <v>0.21</v>
      </c>
    </row>
    <row r="18" spans="1:10" x14ac:dyDescent="0.25">
      <c r="A18" s="1" t="s">
        <v>16</v>
      </c>
      <c r="B18" s="1" t="s">
        <v>27</v>
      </c>
      <c r="C18" s="11"/>
      <c r="D18" s="11"/>
      <c r="E18" s="11">
        <v>237</v>
      </c>
      <c r="F18" s="11"/>
      <c r="G18" s="11">
        <f t="shared" si="0"/>
        <v>237</v>
      </c>
      <c r="H18" s="17">
        <f t="shared" si="1"/>
        <v>0.37</v>
      </c>
      <c r="I18" s="16">
        <f t="shared" si="2"/>
        <v>1E-3</v>
      </c>
      <c r="J18" s="16">
        <f>ROUND(G18/314-1,2)</f>
        <v>-0.25</v>
      </c>
    </row>
    <row r="19" spans="1:10" x14ac:dyDescent="0.25">
      <c r="A19" s="1" t="s">
        <v>16</v>
      </c>
      <c r="B19" s="1" t="s">
        <v>28</v>
      </c>
      <c r="C19" s="11"/>
      <c r="D19" s="11"/>
      <c r="E19" s="11">
        <v>142</v>
      </c>
      <c r="F19" s="11"/>
      <c r="G19" s="11">
        <f t="shared" si="0"/>
        <v>142</v>
      </c>
      <c r="H19" s="17">
        <f t="shared" si="1"/>
        <v>0.22</v>
      </c>
      <c r="I19" s="16">
        <f t="shared" si="2"/>
        <v>1E-3</v>
      </c>
      <c r="J19" s="16">
        <f>ROUND(G19/142-1,2)</f>
        <v>0</v>
      </c>
    </row>
    <row r="20" spans="1:10" x14ac:dyDescent="0.25">
      <c r="A20" s="1" t="s">
        <v>16</v>
      </c>
      <c r="B20" s="1" t="s">
        <v>29</v>
      </c>
      <c r="C20" s="11"/>
      <c r="D20" s="11"/>
      <c r="E20" s="11">
        <v>30</v>
      </c>
      <c r="F20" s="11"/>
      <c r="G20" s="11">
        <f t="shared" si="0"/>
        <v>30</v>
      </c>
      <c r="H20" s="17">
        <f t="shared" si="1"/>
        <v>0.05</v>
      </c>
      <c r="I20" s="16">
        <f t="shared" si="2"/>
        <v>0</v>
      </c>
      <c r="J20" s="16">
        <f>ROUND(G20/51-1,2)</f>
        <v>-0.41</v>
      </c>
    </row>
    <row r="21" spans="1:10" x14ac:dyDescent="0.25">
      <c r="A21" s="1" t="s">
        <v>16</v>
      </c>
      <c r="B21" s="1" t="s">
        <v>30</v>
      </c>
      <c r="C21" s="11"/>
      <c r="D21" s="11"/>
      <c r="E21" s="11">
        <v>1452</v>
      </c>
      <c r="F21" s="11"/>
      <c r="G21" s="11">
        <f t="shared" si="0"/>
        <v>1452</v>
      </c>
      <c r="H21" s="17">
        <f t="shared" si="1"/>
        <v>2.27</v>
      </c>
      <c r="I21" s="16">
        <f t="shared" si="2"/>
        <v>6.0000000000000001E-3</v>
      </c>
      <c r="J21" s="16">
        <f>ROUND(G21/1215-1,2)</f>
        <v>0.2</v>
      </c>
    </row>
    <row r="22" spans="1:10" x14ac:dyDescent="0.25">
      <c r="A22" s="1" t="s">
        <v>16</v>
      </c>
      <c r="B22" s="1" t="s">
        <v>31</v>
      </c>
      <c r="C22" s="11"/>
      <c r="D22" s="11"/>
      <c r="E22" s="11">
        <v>238</v>
      </c>
      <c r="F22" s="11"/>
      <c r="G22" s="11">
        <f t="shared" si="0"/>
        <v>238</v>
      </c>
      <c r="H22" s="17">
        <f t="shared" si="1"/>
        <v>0.37</v>
      </c>
      <c r="I22" s="16">
        <f t="shared" si="2"/>
        <v>1E-3</v>
      </c>
      <c r="J22" s="16">
        <f>ROUND(G22/162-1,2)</f>
        <v>0.47</v>
      </c>
    </row>
    <row r="23" spans="1:10" x14ac:dyDescent="0.25">
      <c r="A23" s="1" t="s">
        <v>16</v>
      </c>
      <c r="B23" s="1" t="s">
        <v>33</v>
      </c>
      <c r="C23" s="11"/>
      <c r="D23" s="11"/>
      <c r="E23" s="11">
        <v>645</v>
      </c>
      <c r="F23" s="11"/>
      <c r="G23" s="11">
        <f t="shared" si="0"/>
        <v>645</v>
      </c>
      <c r="H23" s="17">
        <f t="shared" si="1"/>
        <v>1.01</v>
      </c>
      <c r="I23" s="16">
        <f t="shared" si="2"/>
        <v>2E-3</v>
      </c>
      <c r="J23" s="16">
        <f>ROUND(G23/949-1,2)</f>
        <v>-0.32</v>
      </c>
    </row>
    <row r="24" spans="1:10" x14ac:dyDescent="0.25">
      <c r="A24" s="1" t="s">
        <v>16</v>
      </c>
      <c r="B24" s="1" t="s">
        <v>34</v>
      </c>
      <c r="C24" s="11"/>
      <c r="D24" s="11"/>
      <c r="E24" s="11">
        <v>33</v>
      </c>
      <c r="F24" s="11"/>
      <c r="G24" s="11">
        <f t="shared" si="0"/>
        <v>33</v>
      </c>
      <c r="H24" s="17">
        <f t="shared" si="1"/>
        <v>0.05</v>
      </c>
      <c r="I24" s="16">
        <f t="shared" si="2"/>
        <v>0</v>
      </c>
      <c r="J24" s="16">
        <f>ROUND(G24/47-1,2)</f>
        <v>-0.3</v>
      </c>
    </row>
    <row r="25" spans="1:10" x14ac:dyDescent="0.25">
      <c r="A25" s="1" t="s">
        <v>16</v>
      </c>
      <c r="B25" s="1" t="s">
        <v>35</v>
      </c>
      <c r="C25" s="11"/>
      <c r="D25" s="11"/>
      <c r="E25" s="11">
        <v>450</v>
      </c>
      <c r="F25" s="11"/>
      <c r="G25" s="11">
        <f t="shared" si="0"/>
        <v>450</v>
      </c>
      <c r="H25" s="17">
        <f t="shared" si="1"/>
        <v>0.7</v>
      </c>
      <c r="I25" s="16">
        <f t="shared" si="2"/>
        <v>2E-3</v>
      </c>
      <c r="J25" s="16">
        <f>ROUND(G25/138-1,2)</f>
        <v>2.2599999999999998</v>
      </c>
    </row>
    <row r="26" spans="1:10" x14ac:dyDescent="0.25">
      <c r="A26" s="1" t="s">
        <v>16</v>
      </c>
      <c r="B26" s="1" t="s">
        <v>36</v>
      </c>
      <c r="C26" s="11"/>
      <c r="D26" s="11"/>
      <c r="E26" s="11">
        <v>140</v>
      </c>
      <c r="F26" s="11"/>
      <c r="G26" s="11">
        <f t="shared" si="0"/>
        <v>140</v>
      </c>
      <c r="H26" s="17">
        <f t="shared" si="1"/>
        <v>0.22</v>
      </c>
      <c r="I26" s="16">
        <f t="shared" si="2"/>
        <v>1E-3</v>
      </c>
      <c r="J26" s="16">
        <f>ROUND(G26/288-1,2)</f>
        <v>-0.51</v>
      </c>
    </row>
    <row r="27" spans="1:10" x14ac:dyDescent="0.25">
      <c r="A27" s="1" t="s">
        <v>16</v>
      </c>
      <c r="B27" s="1" t="s">
        <v>37</v>
      </c>
      <c r="C27" s="11"/>
      <c r="D27" s="11"/>
      <c r="E27" s="11">
        <v>878</v>
      </c>
      <c r="F27" s="11"/>
      <c r="G27" s="11">
        <f t="shared" si="0"/>
        <v>878</v>
      </c>
      <c r="H27" s="17">
        <f t="shared" si="1"/>
        <v>1.37</v>
      </c>
      <c r="I27" s="16">
        <f t="shared" si="2"/>
        <v>3.0000000000000001E-3</v>
      </c>
      <c r="J27" s="16">
        <f>ROUND(G27/585-1,2)</f>
        <v>0.5</v>
      </c>
    </row>
    <row r="28" spans="1:10" x14ac:dyDescent="0.25">
      <c r="A28" s="1" t="s">
        <v>16</v>
      </c>
      <c r="B28" s="1" t="s">
        <v>38</v>
      </c>
      <c r="C28" s="11"/>
      <c r="D28" s="11"/>
      <c r="E28" s="11">
        <v>1710</v>
      </c>
      <c r="F28" s="11"/>
      <c r="G28" s="11">
        <f t="shared" si="0"/>
        <v>1710</v>
      </c>
      <c r="H28" s="17">
        <f t="shared" si="1"/>
        <v>2.67</v>
      </c>
      <c r="I28" s="16">
        <f t="shared" si="2"/>
        <v>7.0000000000000001E-3</v>
      </c>
      <c r="J28" s="16">
        <f>ROUND(G28/3221-1,2)</f>
        <v>-0.47</v>
      </c>
    </row>
    <row r="29" spans="1:10" x14ac:dyDescent="0.25">
      <c r="A29" s="1" t="s">
        <v>16</v>
      </c>
      <c r="B29" s="1" t="s">
        <v>39</v>
      </c>
      <c r="C29" s="11"/>
      <c r="D29" s="11"/>
      <c r="E29" s="11">
        <v>3180</v>
      </c>
      <c r="F29" s="11"/>
      <c r="G29" s="11">
        <f t="shared" si="0"/>
        <v>3180</v>
      </c>
      <c r="H29" s="17">
        <f t="shared" si="1"/>
        <v>4.97</v>
      </c>
      <c r="I29" s="16">
        <f t="shared" si="2"/>
        <v>1.2E-2</v>
      </c>
      <c r="J29" s="16">
        <f>ROUND(G29/1674-1,2)</f>
        <v>0.9</v>
      </c>
    </row>
    <row r="30" spans="1:10" x14ac:dyDescent="0.25">
      <c r="A30" s="1" t="s">
        <v>16</v>
      </c>
      <c r="B30" s="1" t="s">
        <v>40</v>
      </c>
      <c r="C30" s="11"/>
      <c r="D30" s="11"/>
      <c r="E30" s="11">
        <v>31741</v>
      </c>
      <c r="F30" s="11"/>
      <c r="G30" s="11">
        <f t="shared" si="0"/>
        <v>31741</v>
      </c>
      <c r="H30" s="17">
        <f t="shared" si="1"/>
        <v>49.6</v>
      </c>
      <c r="I30" s="16">
        <f t="shared" si="2"/>
        <v>0.122</v>
      </c>
      <c r="J30" s="16">
        <f>ROUND(G30/25066-1,2)</f>
        <v>0.27</v>
      </c>
    </row>
    <row r="31" spans="1:10" x14ac:dyDescent="0.25">
      <c r="A31" s="1" t="s">
        <v>16</v>
      </c>
      <c r="B31" s="1" t="s">
        <v>41</v>
      </c>
      <c r="C31" s="11"/>
      <c r="D31" s="11"/>
      <c r="E31" s="11">
        <v>2135</v>
      </c>
      <c r="F31" s="11"/>
      <c r="G31" s="11">
        <f t="shared" si="0"/>
        <v>2135</v>
      </c>
      <c r="H31" s="17">
        <f t="shared" si="1"/>
        <v>3.34</v>
      </c>
      <c r="I31" s="16">
        <f t="shared" si="2"/>
        <v>8.0000000000000002E-3</v>
      </c>
      <c r="J31" s="16">
        <f>ROUND(G31/1946-1,2)</f>
        <v>0.1</v>
      </c>
    </row>
    <row r="32" spans="1:10" x14ac:dyDescent="0.25">
      <c r="A32" s="1" t="s">
        <v>16</v>
      </c>
      <c r="B32" s="1" t="s">
        <v>42</v>
      </c>
      <c r="C32" s="11"/>
      <c r="D32" s="11"/>
      <c r="E32" s="11">
        <v>7031</v>
      </c>
      <c r="F32" s="11"/>
      <c r="G32" s="11">
        <f t="shared" si="0"/>
        <v>7031</v>
      </c>
      <c r="H32" s="17">
        <f t="shared" si="1"/>
        <v>10.99</v>
      </c>
      <c r="I32" s="16">
        <f t="shared" si="2"/>
        <v>2.7E-2</v>
      </c>
      <c r="J32" s="16">
        <f>ROUND(G32/6354-1,2)</f>
        <v>0.11</v>
      </c>
    </row>
    <row r="33" spans="1:10" x14ac:dyDescent="0.25">
      <c r="A33" s="1" t="s">
        <v>16</v>
      </c>
      <c r="B33" s="1" t="s">
        <v>44</v>
      </c>
      <c r="C33" s="11"/>
      <c r="D33" s="11"/>
      <c r="E33" s="11">
        <v>6753</v>
      </c>
      <c r="F33" s="11"/>
      <c r="G33" s="11">
        <f t="shared" si="0"/>
        <v>6753</v>
      </c>
      <c r="H33" s="17">
        <f t="shared" si="1"/>
        <v>10.55</v>
      </c>
      <c r="I33" s="16">
        <f t="shared" si="2"/>
        <v>2.5999999999999999E-2</v>
      </c>
      <c r="J33" s="16">
        <f>ROUND(G33/7058-1,2)</f>
        <v>-0.04</v>
      </c>
    </row>
    <row r="34" spans="1:10" x14ac:dyDescent="0.25">
      <c r="A34" s="1" t="s">
        <v>16</v>
      </c>
      <c r="B34" s="1" t="s">
        <v>32</v>
      </c>
      <c r="C34" s="11"/>
      <c r="D34" s="11"/>
      <c r="E34" s="11"/>
      <c r="F34" s="11"/>
      <c r="G34" s="11">
        <f t="shared" si="0"/>
        <v>0</v>
      </c>
      <c r="H34" s="17">
        <f t="shared" si="1"/>
        <v>0</v>
      </c>
      <c r="I34" s="16">
        <f t="shared" si="2"/>
        <v>0</v>
      </c>
      <c r="J34" s="16">
        <f>ROUND(G34/207-1,2)</f>
        <v>-1</v>
      </c>
    </row>
    <row r="35" spans="1:10" x14ac:dyDescent="0.25">
      <c r="A35" s="1" t="s">
        <v>16</v>
      </c>
      <c r="B35" s="1" t="s">
        <v>121</v>
      </c>
      <c r="C35" s="11"/>
      <c r="D35" s="11"/>
      <c r="E35" s="11"/>
      <c r="F35" s="11"/>
      <c r="G35" s="11">
        <f t="shared" si="0"/>
        <v>0</v>
      </c>
      <c r="H35" s="17">
        <f t="shared" si="1"/>
        <v>0</v>
      </c>
      <c r="I35" s="16">
        <f t="shared" si="2"/>
        <v>0</v>
      </c>
      <c r="J35" s="16"/>
    </row>
    <row r="36" spans="1:10" x14ac:dyDescent="0.25">
      <c r="A36" s="1" t="s">
        <v>45</v>
      </c>
      <c r="B36" s="1" t="s">
        <v>46</v>
      </c>
      <c r="C36" s="11">
        <v>57450</v>
      </c>
      <c r="D36" s="11"/>
      <c r="E36" s="11"/>
      <c r="F36" s="11">
        <v>120</v>
      </c>
      <c r="G36" s="11">
        <f t="shared" si="0"/>
        <v>57570</v>
      </c>
      <c r="H36" s="17">
        <f t="shared" si="1"/>
        <v>89.95</v>
      </c>
      <c r="I36" s="16">
        <f t="shared" si="2"/>
        <v>0.222</v>
      </c>
      <c r="J36" s="16">
        <f>ROUND(G36/64140-1,2)</f>
        <v>-0.1</v>
      </c>
    </row>
    <row r="37" spans="1:10" x14ac:dyDescent="0.25">
      <c r="A37" s="1" t="s">
        <v>45</v>
      </c>
      <c r="B37" s="1" t="s">
        <v>47</v>
      </c>
      <c r="C37" s="11"/>
      <c r="D37" s="11"/>
      <c r="E37" s="11">
        <v>17404</v>
      </c>
      <c r="F37" s="11"/>
      <c r="G37" s="11">
        <f t="shared" si="0"/>
        <v>17404</v>
      </c>
      <c r="H37" s="17">
        <f t="shared" si="1"/>
        <v>27.19</v>
      </c>
      <c r="I37" s="16">
        <f t="shared" si="2"/>
        <v>6.7000000000000004E-2</v>
      </c>
      <c r="J37" s="16">
        <f>ROUND(G37/13459-1,2)</f>
        <v>0.28999999999999998</v>
      </c>
    </row>
    <row r="38" spans="1:10" x14ac:dyDescent="0.25">
      <c r="A38" s="1" t="s">
        <v>45</v>
      </c>
      <c r="B38" s="1" t="s">
        <v>48</v>
      </c>
      <c r="C38" s="11"/>
      <c r="D38" s="11"/>
      <c r="E38" s="11"/>
      <c r="F38" s="11"/>
      <c r="G38" s="11">
        <f t="shared" si="0"/>
        <v>0</v>
      </c>
      <c r="H38" s="17">
        <f t="shared" si="1"/>
        <v>0</v>
      </c>
      <c r="I38" s="16">
        <f t="shared" si="2"/>
        <v>0</v>
      </c>
      <c r="J38" s="16"/>
    </row>
    <row r="39" spans="1:10" x14ac:dyDescent="0.25">
      <c r="A39" s="1" t="s">
        <v>49</v>
      </c>
      <c r="B39" s="1" t="s">
        <v>52</v>
      </c>
      <c r="C39" s="11"/>
      <c r="D39" s="11"/>
      <c r="E39" s="11"/>
      <c r="F39" s="11"/>
      <c r="G39" s="11">
        <f t="shared" si="0"/>
        <v>0</v>
      </c>
      <c r="H39" s="17">
        <f t="shared" si="1"/>
        <v>0</v>
      </c>
      <c r="I39" s="16">
        <f t="shared" si="2"/>
        <v>0</v>
      </c>
      <c r="J39" s="16"/>
    </row>
    <row r="40" spans="1:10" x14ac:dyDescent="0.25">
      <c r="A40" s="26" t="s">
        <v>12</v>
      </c>
      <c r="B40" s="26"/>
      <c r="C40" s="12">
        <f t="shared" ref="C40:H40" si="3">SUM(C8:C39)</f>
        <v>135700</v>
      </c>
      <c r="D40" s="12">
        <f t="shared" si="3"/>
        <v>0</v>
      </c>
      <c r="E40" s="12">
        <f t="shared" si="3"/>
        <v>123861</v>
      </c>
      <c r="F40" s="12">
        <f t="shared" si="3"/>
        <v>120</v>
      </c>
      <c r="G40" s="12">
        <f t="shared" si="3"/>
        <v>259681</v>
      </c>
      <c r="H40" s="15">
        <f t="shared" si="3"/>
        <v>405.76</v>
      </c>
      <c r="I40" s="18"/>
      <c r="J40" s="18"/>
    </row>
    <row r="41" spans="1:10" x14ac:dyDescent="0.25">
      <c r="A41" s="26" t="s">
        <v>14</v>
      </c>
      <c r="B41" s="26"/>
      <c r="C41" s="13">
        <f>ROUND(C40/G40,2)</f>
        <v>0.52</v>
      </c>
      <c r="D41" s="13">
        <f>ROUND(D40/G40,2)</f>
        <v>0</v>
      </c>
      <c r="E41" s="13">
        <f>ROUND(E40/G40,2)</f>
        <v>0.48</v>
      </c>
      <c r="F41" s="13">
        <f>ROUND(F40/G40,2)</f>
        <v>0</v>
      </c>
      <c r="G41" s="14"/>
      <c r="H41" s="14"/>
      <c r="I41" s="18"/>
      <c r="J41" s="18"/>
    </row>
    <row r="42" spans="1:10" x14ac:dyDescent="0.25">
      <c r="A42" s="2" t="s">
        <v>53</v>
      </c>
      <c r="B42" s="2"/>
      <c r="C42" s="14"/>
      <c r="D42" s="14"/>
      <c r="E42" s="14"/>
      <c r="F42" s="14"/>
      <c r="G42" s="14"/>
      <c r="H42" s="14"/>
      <c r="I42" s="18"/>
      <c r="J42" s="18"/>
    </row>
    <row r="43" spans="1:10" x14ac:dyDescent="0.25">
      <c r="C43" s="9"/>
      <c r="D43" s="9"/>
      <c r="E43" s="9"/>
      <c r="F43" s="9"/>
      <c r="G43" s="9"/>
      <c r="H43" s="9"/>
      <c r="I43" s="10"/>
      <c r="J43" s="10"/>
    </row>
    <row r="44" spans="1:10" x14ac:dyDescent="0.25">
      <c r="C44" s="9"/>
      <c r="D44" s="9"/>
      <c r="E44" s="9"/>
      <c r="F44" s="9"/>
      <c r="G44" s="9"/>
      <c r="H44" s="9"/>
      <c r="I44" s="10"/>
      <c r="J44" s="10"/>
    </row>
    <row r="45" spans="1:10" x14ac:dyDescent="0.25">
      <c r="C45" s="9"/>
      <c r="D45" s="9"/>
      <c r="E45" s="9"/>
      <c r="F45" s="9"/>
      <c r="G45" s="9"/>
      <c r="H45" s="9"/>
      <c r="I45" s="10"/>
      <c r="J45" s="10"/>
    </row>
    <row r="46" spans="1:10" x14ac:dyDescent="0.25">
      <c r="A46" s="26" t="s">
        <v>54</v>
      </c>
      <c r="B46" s="26"/>
      <c r="C46" s="12" t="s">
        <v>8</v>
      </c>
      <c r="D46" s="12" t="s">
        <v>9</v>
      </c>
      <c r="E46" s="12" t="s">
        <v>10</v>
      </c>
      <c r="F46" s="12" t="s">
        <v>11</v>
      </c>
      <c r="G46" s="12" t="s">
        <v>12</v>
      </c>
      <c r="H46" s="15" t="s">
        <v>13</v>
      </c>
      <c r="I46" s="18"/>
      <c r="J46" s="18"/>
    </row>
    <row r="47" spans="1:10" x14ac:dyDescent="0.25">
      <c r="A47" s="21" t="s">
        <v>55</v>
      </c>
      <c r="B47" s="21"/>
      <c r="C47" s="11">
        <v>78250</v>
      </c>
      <c r="D47" s="11">
        <v>0</v>
      </c>
      <c r="E47" s="11">
        <v>106457</v>
      </c>
      <c r="F47" s="11">
        <v>0</v>
      </c>
      <c r="G47" s="11">
        <f>SUM(C47:F47)</f>
        <v>184707</v>
      </c>
      <c r="H47" s="17">
        <f>ROUND(G47/640,2)</f>
        <v>288.60000000000002</v>
      </c>
      <c r="I47" s="10"/>
      <c r="J47" s="10"/>
    </row>
    <row r="48" spans="1:10" x14ac:dyDescent="0.25">
      <c r="A48" s="21" t="s">
        <v>56</v>
      </c>
      <c r="B48" s="21"/>
      <c r="C48" s="11">
        <v>57450</v>
      </c>
      <c r="D48" s="11">
        <v>0</v>
      </c>
      <c r="E48" s="11">
        <v>17404</v>
      </c>
      <c r="F48" s="11">
        <v>120</v>
      </c>
      <c r="G48" s="11">
        <f>SUM(C48:F48)</f>
        <v>74974</v>
      </c>
      <c r="H48" s="17">
        <f>ROUND(G48/640,2)</f>
        <v>117.15</v>
      </c>
      <c r="I48" s="10"/>
      <c r="J48" s="10"/>
    </row>
    <row r="49" spans="1:10" x14ac:dyDescent="0.25">
      <c r="A49" s="21" t="s">
        <v>57</v>
      </c>
      <c r="B49" s="21"/>
      <c r="C49" s="11">
        <v>0</v>
      </c>
      <c r="D49" s="11">
        <v>0</v>
      </c>
      <c r="E49" s="11">
        <v>0</v>
      </c>
      <c r="F49" s="11">
        <v>0</v>
      </c>
      <c r="G49" s="11">
        <f>SUM(C49:F49)</f>
        <v>0</v>
      </c>
      <c r="H49" s="17">
        <f>ROUND(G49/640,2)</f>
        <v>0</v>
      </c>
      <c r="I49" s="10"/>
      <c r="J49" s="10"/>
    </row>
    <row r="50" spans="1:10" x14ac:dyDescent="0.25">
      <c r="C50" s="9"/>
      <c r="D50" s="9"/>
      <c r="E50" s="9"/>
      <c r="F50" s="9"/>
      <c r="G50" s="9"/>
      <c r="H50" s="9"/>
      <c r="I50" s="10"/>
      <c r="J50" s="10"/>
    </row>
    <row r="51" spans="1:10" x14ac:dyDescent="0.25">
      <c r="C51" s="9"/>
      <c r="D51" s="9"/>
      <c r="E51" s="9"/>
      <c r="F51" s="9"/>
      <c r="G51" s="9"/>
      <c r="H51" s="9"/>
      <c r="I51" s="10"/>
      <c r="J51" s="10"/>
    </row>
    <row r="52" spans="1:10" x14ac:dyDescent="0.25">
      <c r="C52" s="9"/>
      <c r="D52" s="9"/>
      <c r="E52" s="9"/>
      <c r="F52" s="9"/>
      <c r="G52" s="9"/>
      <c r="H52" s="9"/>
      <c r="I52" s="10"/>
      <c r="J52" s="10"/>
    </row>
    <row r="53" spans="1:10" x14ac:dyDescent="0.25">
      <c r="C53" s="9"/>
      <c r="D53" s="9"/>
      <c r="E53" s="9"/>
      <c r="F53" s="9"/>
      <c r="G53" s="9"/>
      <c r="H53" s="9"/>
      <c r="I53" s="10"/>
      <c r="J53" s="10"/>
    </row>
    <row r="54" spans="1:10" x14ac:dyDescent="0.25">
      <c r="A54" s="26" t="s">
        <v>58</v>
      </c>
      <c r="B54" s="26"/>
      <c r="C54" s="15" t="s">
        <v>2</v>
      </c>
      <c r="D54" s="15">
        <v>2024</v>
      </c>
      <c r="E54" s="15" t="s">
        <v>60</v>
      </c>
      <c r="F54" s="14"/>
      <c r="G54" s="15" t="s">
        <v>61</v>
      </c>
      <c r="H54" s="15" t="s">
        <v>2</v>
      </c>
      <c r="I54" s="13" t="s">
        <v>62</v>
      </c>
      <c r="J54" s="13" t="s">
        <v>60</v>
      </c>
    </row>
    <row r="55" spans="1:10" x14ac:dyDescent="0.25">
      <c r="A55" s="21" t="s">
        <v>59</v>
      </c>
      <c r="B55" s="21"/>
      <c r="C55" s="16">
        <f>ROUND(0.7434, 4)</f>
        <v>0.74339999999999995</v>
      </c>
      <c r="D55" s="16">
        <f>ROUND(0.6932, 4)</f>
        <v>0.69320000000000004</v>
      </c>
      <c r="E55" s="16">
        <f>ROUND(0.7856, 4)</f>
        <v>0.78559999999999997</v>
      </c>
      <c r="F55" s="9"/>
      <c r="G55" s="15" t="s">
        <v>63</v>
      </c>
      <c r="H55" s="27" t="s">
        <v>64</v>
      </c>
      <c r="I55" s="24" t="s">
        <v>65</v>
      </c>
      <c r="J55" s="24" t="s">
        <v>66</v>
      </c>
    </row>
    <row r="56" spans="1:10" x14ac:dyDescent="0.25">
      <c r="A56" s="21" t="s">
        <v>67</v>
      </c>
      <c r="B56" s="21"/>
      <c r="C56" s="16">
        <f>ROUND(0.7434, 4)</f>
        <v>0.74339999999999995</v>
      </c>
      <c r="D56" s="16">
        <f>ROUND(0.6607, 4)</f>
        <v>0.66069999999999995</v>
      </c>
      <c r="E56" s="16">
        <f>ROUND(0.7702, 4)</f>
        <v>0.7702</v>
      </c>
      <c r="F56" s="9"/>
      <c r="G56" s="15" t="s">
        <v>68</v>
      </c>
      <c r="H56" s="28"/>
      <c r="I56" s="25"/>
      <c r="J56" s="25"/>
    </row>
    <row r="57" spans="1:10" x14ac:dyDescent="0.25">
      <c r="C57" s="9"/>
      <c r="D57" s="9"/>
      <c r="E57" s="9"/>
      <c r="F57" s="9"/>
      <c r="G57" s="9"/>
      <c r="H57" s="9"/>
      <c r="I57" s="10"/>
      <c r="J57" s="10"/>
    </row>
    <row r="58" spans="1:10" x14ac:dyDescent="0.25">
      <c r="C58" s="9"/>
      <c r="D58" s="9"/>
      <c r="E58" s="9"/>
      <c r="F58" s="9"/>
      <c r="G58" s="9"/>
      <c r="H58" s="9"/>
      <c r="I58" s="10"/>
      <c r="J58" s="10"/>
    </row>
    <row r="59" spans="1:10" x14ac:dyDescent="0.25">
      <c r="C59" s="9"/>
      <c r="D59" s="9"/>
      <c r="E59" s="9"/>
      <c r="F59" s="9"/>
      <c r="G59" s="9"/>
      <c r="H59" s="9"/>
      <c r="I59" s="10"/>
      <c r="J59" s="10"/>
    </row>
    <row r="60" spans="1:10" x14ac:dyDescent="0.25">
      <c r="A60" s="26" t="s">
        <v>69</v>
      </c>
      <c r="B60" s="26"/>
      <c r="C60" s="15" t="s">
        <v>2</v>
      </c>
      <c r="D60" s="15" t="s">
        <v>125</v>
      </c>
      <c r="E60" s="15" t="s">
        <v>71</v>
      </c>
      <c r="F60" s="15" t="s">
        <v>72</v>
      </c>
      <c r="G60" s="15" t="s">
        <v>73</v>
      </c>
      <c r="H60" s="14"/>
      <c r="I60" s="18"/>
      <c r="J60" s="18"/>
    </row>
    <row r="61" spans="1:10" x14ac:dyDescent="0.25">
      <c r="A61" s="21" t="s">
        <v>74</v>
      </c>
      <c r="B61" s="21"/>
      <c r="C61" s="17">
        <v>89.95</v>
      </c>
      <c r="D61" s="17">
        <v>78.16</v>
      </c>
      <c r="E61" s="17">
        <v>96.15</v>
      </c>
      <c r="F61" s="17">
        <v>57.94</v>
      </c>
      <c r="G61" s="17">
        <f>12/12*C61</f>
        <v>89.95</v>
      </c>
      <c r="H61" s="9"/>
      <c r="I61" s="10"/>
      <c r="J61" s="10"/>
    </row>
    <row r="62" spans="1:10" x14ac:dyDescent="0.25">
      <c r="A62" s="21" t="s">
        <v>75</v>
      </c>
      <c r="B62" s="21"/>
      <c r="C62" s="17">
        <v>29.67</v>
      </c>
      <c r="D62" s="17">
        <v>33.549999999999997</v>
      </c>
      <c r="E62" s="17">
        <v>62.28</v>
      </c>
      <c r="F62" s="17">
        <v>66.599999999999994</v>
      </c>
      <c r="G62" s="17">
        <f>12/12*C62</f>
        <v>29.67</v>
      </c>
      <c r="H62" s="9"/>
      <c r="I62" s="10"/>
      <c r="J62" s="10"/>
    </row>
    <row r="63" spans="1:10" x14ac:dyDescent="0.25">
      <c r="A63" s="21" t="s">
        <v>76</v>
      </c>
      <c r="B63" s="21"/>
      <c r="C63" s="17">
        <v>288.60000000000002</v>
      </c>
      <c r="D63" s="17">
        <v>227.87</v>
      </c>
      <c r="E63" s="17">
        <v>300.02</v>
      </c>
      <c r="F63" s="17">
        <v>295.08</v>
      </c>
      <c r="G63" s="17">
        <f>12/12*C63</f>
        <v>288.60000000000002</v>
      </c>
      <c r="H63" s="9"/>
      <c r="I63" s="10"/>
      <c r="J63" s="10"/>
    </row>
    <row r="64" spans="1:10" x14ac:dyDescent="0.25">
      <c r="A64" s="21" t="s">
        <v>77</v>
      </c>
      <c r="B64" s="21"/>
      <c r="C64" s="17">
        <v>117.15</v>
      </c>
      <c r="D64" s="17">
        <v>97.83</v>
      </c>
      <c r="E64" s="17">
        <v>120.96</v>
      </c>
      <c r="F64" s="17">
        <v>83.12</v>
      </c>
      <c r="G64" s="17">
        <f>12/12*C64</f>
        <v>117.15</v>
      </c>
      <c r="H64" s="9"/>
      <c r="I64" s="10"/>
      <c r="J64" s="10"/>
    </row>
    <row r="65" spans="1:10" x14ac:dyDescent="0.25">
      <c r="C65" s="9"/>
      <c r="D65" s="9"/>
      <c r="E65" s="9"/>
      <c r="F65" s="9"/>
      <c r="G65" s="9"/>
      <c r="H65" s="9"/>
      <c r="I65" s="10"/>
      <c r="J65" s="10"/>
    </row>
    <row r="66" spans="1:10" x14ac:dyDescent="0.25">
      <c r="C66" s="9"/>
      <c r="D66" s="9"/>
      <c r="E66" s="9"/>
      <c r="F66" s="9"/>
      <c r="G66" s="9"/>
      <c r="H66" s="9"/>
      <c r="I66" s="10"/>
      <c r="J66" s="10"/>
    </row>
    <row r="67" spans="1:10" x14ac:dyDescent="0.25">
      <c r="A67" s="22" t="s">
        <v>61</v>
      </c>
      <c r="B67" s="23"/>
      <c r="C67" s="9"/>
      <c r="D67" s="9"/>
      <c r="E67" s="9"/>
      <c r="F67" s="9"/>
      <c r="G67" s="9"/>
      <c r="H67" s="9"/>
      <c r="I67" s="10"/>
      <c r="J67" s="10"/>
    </row>
    <row r="68" spans="1:10" x14ac:dyDescent="0.25">
      <c r="A68" s="3" t="s">
        <v>78</v>
      </c>
      <c r="B68" s="1" t="s">
        <v>126</v>
      </c>
      <c r="C68" s="9"/>
      <c r="D68" s="9"/>
      <c r="E68" s="9"/>
      <c r="F68" s="9"/>
      <c r="G68" s="9"/>
      <c r="H68" s="9"/>
      <c r="I68" s="10"/>
      <c r="J68" s="10"/>
    </row>
    <row r="69" spans="1:10" x14ac:dyDescent="0.25">
      <c r="A69" s="3" t="s">
        <v>71</v>
      </c>
      <c r="B69" s="1" t="s">
        <v>80</v>
      </c>
      <c r="C69" s="9"/>
      <c r="D69" s="9"/>
      <c r="E69" s="9"/>
      <c r="F69" s="9"/>
      <c r="G69" s="9"/>
      <c r="H69" s="9"/>
      <c r="I69" s="10"/>
      <c r="J69" s="10"/>
    </row>
    <row r="70" spans="1:10" x14ac:dyDescent="0.25">
      <c r="A70" s="3" t="s">
        <v>72</v>
      </c>
      <c r="B70" s="1" t="s">
        <v>81</v>
      </c>
      <c r="C70" s="9"/>
      <c r="D70" s="9"/>
      <c r="E70" s="9"/>
      <c r="F70" s="9"/>
      <c r="G70" s="9"/>
      <c r="H70" s="9"/>
      <c r="I70" s="10"/>
      <c r="J70" s="10"/>
    </row>
    <row r="71" spans="1:10" x14ac:dyDescent="0.25">
      <c r="A71" s="3" t="s">
        <v>73</v>
      </c>
      <c r="B71" s="1" t="s">
        <v>82</v>
      </c>
      <c r="C71" s="9"/>
      <c r="D71" s="9"/>
      <c r="E71" s="9"/>
      <c r="F71" s="9"/>
      <c r="G71" s="9"/>
      <c r="H71" s="9"/>
      <c r="I71" s="10"/>
      <c r="J71" s="10"/>
    </row>
    <row r="72" spans="1:10" x14ac:dyDescent="0.25">
      <c r="C72" s="9"/>
      <c r="D72" s="9"/>
      <c r="E72" s="9"/>
      <c r="F72" s="9"/>
      <c r="G72" s="9"/>
      <c r="H72" s="9"/>
      <c r="I72" s="10"/>
      <c r="J72" s="10"/>
    </row>
    <row r="73" spans="1:10" x14ac:dyDescent="0.25">
      <c r="C73" s="9"/>
      <c r="D73" s="9"/>
      <c r="E73" s="9"/>
      <c r="F73" s="9"/>
      <c r="G73" s="9"/>
      <c r="H73" s="9"/>
      <c r="I73" s="10"/>
      <c r="J73" s="10"/>
    </row>
    <row r="74" spans="1:10" x14ac:dyDescent="0.25">
      <c r="C74" s="9"/>
      <c r="D74" s="9"/>
      <c r="E74" s="9"/>
      <c r="F74" s="9"/>
      <c r="G74" s="9"/>
      <c r="H74" s="9"/>
      <c r="I74" s="10"/>
      <c r="J74" s="10"/>
    </row>
    <row r="75" spans="1:10" x14ac:dyDescent="0.25">
      <c r="C75" s="9"/>
      <c r="D75" s="9"/>
      <c r="E75" s="9"/>
      <c r="F75" s="9"/>
      <c r="G75" s="9"/>
      <c r="H75" s="9"/>
      <c r="I75" s="10"/>
      <c r="J75" s="10"/>
    </row>
    <row r="76" spans="1:10" x14ac:dyDescent="0.25">
      <c r="C76" s="9"/>
      <c r="D76" s="9"/>
      <c r="E76" s="9"/>
      <c r="F76" s="9"/>
      <c r="G76" s="9"/>
      <c r="H76" s="9"/>
      <c r="I76" s="10"/>
      <c r="J76" s="10"/>
    </row>
    <row r="77" spans="1:10" x14ac:dyDescent="0.25">
      <c r="C77" s="9"/>
      <c r="D77" s="9"/>
      <c r="E77" s="9"/>
      <c r="F77" s="9"/>
      <c r="G77" s="9"/>
      <c r="H77" s="9"/>
      <c r="I77" s="10"/>
      <c r="J77" s="10"/>
    </row>
    <row r="78" spans="1:10" x14ac:dyDescent="0.25">
      <c r="C78" s="9"/>
      <c r="D78" s="9"/>
      <c r="E78" s="9"/>
      <c r="F78" s="9"/>
      <c r="G78" s="9"/>
      <c r="H78" s="9"/>
      <c r="I78" s="10"/>
      <c r="J78" s="10"/>
    </row>
    <row r="79" spans="1:10" x14ac:dyDescent="0.25">
      <c r="C79" s="9"/>
      <c r="D79" s="9"/>
      <c r="E79" s="9"/>
      <c r="F79" s="9"/>
      <c r="G79" s="9"/>
      <c r="H79" s="9"/>
      <c r="I79" s="10"/>
      <c r="J79" s="10"/>
    </row>
    <row r="80" spans="1:10" x14ac:dyDescent="0.25">
      <c r="C80" s="9"/>
      <c r="D80" s="9"/>
      <c r="E80" s="9"/>
      <c r="F80" s="9"/>
      <c r="G80" s="9"/>
      <c r="H80" s="9"/>
      <c r="I80" s="10"/>
      <c r="J80" s="10"/>
    </row>
    <row r="81" spans="3:10" x14ac:dyDescent="0.25">
      <c r="C81" s="9"/>
      <c r="D81" s="9"/>
      <c r="E81" s="9"/>
      <c r="F81" s="9"/>
      <c r="G81" s="9"/>
      <c r="H81" s="9"/>
      <c r="I81" s="10"/>
      <c r="J81" s="10"/>
    </row>
  </sheetData>
  <mergeCells count="19">
    <mergeCell ref="C7:G7"/>
    <mergeCell ref="A40:B40"/>
    <mergeCell ref="A41:B41"/>
    <mergeCell ref="A46:B46"/>
    <mergeCell ref="A47:B47"/>
    <mergeCell ref="J55:J56"/>
    <mergeCell ref="A56:B56"/>
    <mergeCell ref="A60:B60"/>
    <mergeCell ref="A61:B61"/>
    <mergeCell ref="A48:B48"/>
    <mergeCell ref="A49:B49"/>
    <mergeCell ref="A54:B54"/>
    <mergeCell ref="A55:B55"/>
    <mergeCell ref="H55:H56"/>
    <mergeCell ref="A62:B62"/>
    <mergeCell ref="A63:B63"/>
    <mergeCell ref="A64:B64"/>
    <mergeCell ref="A67:B67"/>
    <mergeCell ref="I55:I5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J81"/>
  <sheetViews>
    <sheetView workbookViewId="0">
      <selection activeCell="E5" sqref="E5"/>
    </sheetView>
  </sheetViews>
  <sheetFormatPr defaultRowHeight="15" x14ac:dyDescent="0.25"/>
  <cols>
    <col min="1" max="1" width="28.42578125" bestFit="1" customWidth="1"/>
    <col min="2" max="2" width="59.5703125" bestFit="1" customWidth="1"/>
    <col min="3" max="3" width="12.7109375" bestFit="1" customWidth="1"/>
    <col min="4" max="4" width="24" bestFit="1" customWidth="1"/>
    <col min="5" max="5" width="13.85546875" bestFit="1" customWidth="1"/>
    <col min="6" max="6" width="8.5703125" bestFit="1" customWidth="1"/>
    <col min="7" max="7" width="47.7109375" bestFit="1" customWidth="1"/>
    <col min="8" max="9" width="16.7109375" bestFit="1" customWidth="1"/>
    <col min="10" max="10" width="24.42578125" bestFit="1" customWidth="1"/>
  </cols>
  <sheetData>
    <row r="2" spans="1:10" ht="18.75" x14ac:dyDescent="0.3">
      <c r="A2" s="3" t="s">
        <v>0</v>
      </c>
      <c r="B2" s="4" t="s">
        <v>127</v>
      </c>
    </row>
    <row r="3" spans="1:10" x14ac:dyDescent="0.25">
      <c r="A3" s="3" t="s">
        <v>2</v>
      </c>
      <c r="B3" s="1" t="s">
        <v>3</v>
      </c>
    </row>
    <row r="4" spans="1:10" x14ac:dyDescent="0.25">
      <c r="A4" s="3" t="s">
        <v>4</v>
      </c>
      <c r="B4" s="20">
        <v>15906</v>
      </c>
    </row>
    <row r="7" spans="1:10" x14ac:dyDescent="0.25">
      <c r="C7" s="22" t="s">
        <v>5</v>
      </c>
      <c r="D7" s="21"/>
      <c r="E7" s="21"/>
      <c r="F7" s="21"/>
      <c r="G7" s="21"/>
    </row>
    <row r="8" spans="1:10" x14ac:dyDescent="0.25">
      <c r="A8" s="3" t="s">
        <v>6</v>
      </c>
      <c r="B8" s="3" t="s">
        <v>7</v>
      </c>
      <c r="C8" s="15" t="s">
        <v>8</v>
      </c>
      <c r="D8" s="15" t="s">
        <v>9</v>
      </c>
      <c r="E8" s="15" t="s">
        <v>10</v>
      </c>
      <c r="F8" s="15" t="s">
        <v>11</v>
      </c>
      <c r="G8" s="15" t="s">
        <v>12</v>
      </c>
      <c r="H8" s="15" t="s">
        <v>13</v>
      </c>
      <c r="I8" s="15" t="s">
        <v>14</v>
      </c>
      <c r="J8" s="15" t="s">
        <v>15</v>
      </c>
    </row>
    <row r="9" spans="1:10" x14ac:dyDescent="0.25">
      <c r="A9" s="1" t="s">
        <v>49</v>
      </c>
      <c r="B9" s="1" t="s">
        <v>51</v>
      </c>
      <c r="C9" s="11"/>
      <c r="D9" s="11"/>
      <c r="E9" s="11"/>
      <c r="F9" s="11">
        <v>680</v>
      </c>
      <c r="G9" s="11">
        <f t="shared" ref="G9:G49" si="0">SUM(C9:F9)</f>
        <v>680</v>
      </c>
      <c r="H9" s="17">
        <f t="shared" ref="H9:H49" si="1">ROUND(G9/15906,2)</f>
        <v>0.04</v>
      </c>
      <c r="I9" s="16">
        <f t="shared" ref="I9:I49" si="2">ROUND(G9/$G$50,3)</f>
        <v>0</v>
      </c>
      <c r="J9" s="16"/>
    </row>
    <row r="10" spans="1:10" x14ac:dyDescent="0.25">
      <c r="A10" s="1" t="s">
        <v>49</v>
      </c>
      <c r="B10" s="1" t="s">
        <v>52</v>
      </c>
      <c r="C10" s="11"/>
      <c r="D10" s="11"/>
      <c r="E10" s="11"/>
      <c r="F10" s="11"/>
      <c r="G10" s="11">
        <f t="shared" si="0"/>
        <v>0</v>
      </c>
      <c r="H10" s="17">
        <f t="shared" si="1"/>
        <v>0</v>
      </c>
      <c r="I10" s="16">
        <f t="shared" si="2"/>
        <v>0</v>
      </c>
      <c r="J10" s="16"/>
    </row>
    <row r="11" spans="1:10" x14ac:dyDescent="0.25">
      <c r="A11" s="1" t="s">
        <v>49</v>
      </c>
      <c r="B11" s="1" t="s">
        <v>100</v>
      </c>
      <c r="C11" s="11"/>
      <c r="D11" s="11"/>
      <c r="E11" s="11"/>
      <c r="F11" s="11"/>
      <c r="G11" s="11">
        <f t="shared" si="0"/>
        <v>0</v>
      </c>
      <c r="H11" s="17">
        <f t="shared" si="1"/>
        <v>0</v>
      </c>
      <c r="I11" s="16">
        <f t="shared" si="2"/>
        <v>0</v>
      </c>
      <c r="J11" s="16"/>
    </row>
    <row r="12" spans="1:10" x14ac:dyDescent="0.25">
      <c r="A12" s="1" t="s">
        <v>49</v>
      </c>
      <c r="B12" s="1" t="s">
        <v>50</v>
      </c>
      <c r="C12" s="11"/>
      <c r="D12" s="11"/>
      <c r="E12" s="11"/>
      <c r="F12" s="11"/>
      <c r="G12" s="11">
        <f t="shared" si="0"/>
        <v>0</v>
      </c>
      <c r="H12" s="17">
        <f t="shared" si="1"/>
        <v>0</v>
      </c>
      <c r="I12" s="16">
        <f t="shared" si="2"/>
        <v>0</v>
      </c>
      <c r="J12" s="16"/>
    </row>
    <row r="13" spans="1:10" x14ac:dyDescent="0.25">
      <c r="A13" s="1" t="s">
        <v>49</v>
      </c>
      <c r="B13" s="1" t="s">
        <v>88</v>
      </c>
      <c r="C13" s="11"/>
      <c r="D13" s="11"/>
      <c r="E13" s="11"/>
      <c r="F13" s="11"/>
      <c r="G13" s="11">
        <f t="shared" si="0"/>
        <v>0</v>
      </c>
      <c r="H13" s="17">
        <f t="shared" si="1"/>
        <v>0</v>
      </c>
      <c r="I13" s="16">
        <f t="shared" si="2"/>
        <v>0</v>
      </c>
      <c r="J13" s="16"/>
    </row>
    <row r="14" spans="1:10" x14ac:dyDescent="0.25">
      <c r="A14" s="1" t="s">
        <v>16</v>
      </c>
      <c r="B14" s="1" t="s">
        <v>17</v>
      </c>
      <c r="C14" s="11"/>
      <c r="D14" s="11"/>
      <c r="E14" s="11">
        <v>663</v>
      </c>
      <c r="F14" s="11"/>
      <c r="G14" s="11">
        <f t="shared" si="0"/>
        <v>663</v>
      </c>
      <c r="H14" s="17">
        <f t="shared" si="1"/>
        <v>0.04</v>
      </c>
      <c r="I14" s="16">
        <f t="shared" si="2"/>
        <v>0</v>
      </c>
      <c r="J14" s="16">
        <f>ROUND(G14/626-1,2)</f>
        <v>0.06</v>
      </c>
    </row>
    <row r="15" spans="1:10" x14ac:dyDescent="0.25">
      <c r="A15" s="1" t="s">
        <v>16</v>
      </c>
      <c r="B15" s="1" t="s">
        <v>19</v>
      </c>
      <c r="C15" s="11">
        <v>551240</v>
      </c>
      <c r="D15" s="11"/>
      <c r="E15" s="11">
        <v>30720</v>
      </c>
      <c r="F15" s="11">
        <v>6420</v>
      </c>
      <c r="G15" s="11">
        <f t="shared" si="0"/>
        <v>588380</v>
      </c>
      <c r="H15" s="17">
        <f t="shared" si="1"/>
        <v>36.99</v>
      </c>
      <c r="I15" s="16">
        <f t="shared" si="2"/>
        <v>0.08</v>
      </c>
      <c r="J15" s="16">
        <f>ROUND(G15/520530-1,2)</f>
        <v>0.13</v>
      </c>
    </row>
    <row r="16" spans="1:10" x14ac:dyDescent="0.25">
      <c r="A16" s="1" t="s">
        <v>16</v>
      </c>
      <c r="B16" s="1" t="s">
        <v>20</v>
      </c>
      <c r="C16" s="11">
        <v>630200</v>
      </c>
      <c r="D16" s="11"/>
      <c r="E16" s="11"/>
      <c r="F16" s="11"/>
      <c r="G16" s="11">
        <f t="shared" si="0"/>
        <v>630200</v>
      </c>
      <c r="H16" s="17">
        <f t="shared" si="1"/>
        <v>39.619999999999997</v>
      </c>
      <c r="I16" s="16">
        <f t="shared" si="2"/>
        <v>8.5999999999999993E-2</v>
      </c>
      <c r="J16" s="16">
        <f>ROUND(G16/645500-1,2)</f>
        <v>-0.02</v>
      </c>
    </row>
    <row r="17" spans="1:10" x14ac:dyDescent="0.25">
      <c r="A17" s="1" t="s">
        <v>16</v>
      </c>
      <c r="B17" s="1" t="s">
        <v>87</v>
      </c>
      <c r="C17" s="11"/>
      <c r="D17" s="11"/>
      <c r="E17" s="11">
        <v>410</v>
      </c>
      <c r="F17" s="11"/>
      <c r="G17" s="11">
        <f t="shared" si="0"/>
        <v>410</v>
      </c>
      <c r="H17" s="17">
        <f t="shared" si="1"/>
        <v>0.03</v>
      </c>
      <c r="I17" s="16">
        <f t="shared" si="2"/>
        <v>0</v>
      </c>
      <c r="J17" s="16">
        <f>ROUND(G17/427-1,2)</f>
        <v>-0.04</v>
      </c>
    </row>
    <row r="18" spans="1:10" x14ac:dyDescent="0.25">
      <c r="A18" s="1" t="s">
        <v>16</v>
      </c>
      <c r="B18" s="1" t="s">
        <v>21</v>
      </c>
      <c r="C18" s="11"/>
      <c r="D18" s="11"/>
      <c r="E18" s="11">
        <v>1122</v>
      </c>
      <c r="F18" s="11"/>
      <c r="G18" s="11">
        <f t="shared" si="0"/>
        <v>1122</v>
      </c>
      <c r="H18" s="17">
        <f t="shared" si="1"/>
        <v>7.0000000000000007E-2</v>
      </c>
      <c r="I18" s="16">
        <f t="shared" si="2"/>
        <v>0</v>
      </c>
      <c r="J18" s="16">
        <f>ROUND(G18/904-1,2)</f>
        <v>0.24</v>
      </c>
    </row>
    <row r="19" spans="1:10" x14ac:dyDescent="0.25">
      <c r="A19" s="1" t="s">
        <v>16</v>
      </c>
      <c r="B19" s="1" t="s">
        <v>22</v>
      </c>
      <c r="C19" s="11"/>
      <c r="D19" s="11"/>
      <c r="E19" s="11">
        <v>4000</v>
      </c>
      <c r="F19" s="11"/>
      <c r="G19" s="11">
        <f t="shared" si="0"/>
        <v>4000</v>
      </c>
      <c r="H19" s="17">
        <f t="shared" si="1"/>
        <v>0.25</v>
      </c>
      <c r="I19" s="16">
        <f t="shared" si="2"/>
        <v>1E-3</v>
      </c>
      <c r="J19" s="16">
        <f>ROUND(G19/3300-1,2)</f>
        <v>0.21</v>
      </c>
    </row>
    <row r="20" spans="1:10" x14ac:dyDescent="0.25">
      <c r="A20" s="1" t="s">
        <v>16</v>
      </c>
      <c r="B20" s="1" t="s">
        <v>23</v>
      </c>
      <c r="C20" s="11"/>
      <c r="D20" s="11"/>
      <c r="E20" s="11">
        <v>348060</v>
      </c>
      <c r="F20" s="11"/>
      <c r="G20" s="11">
        <f t="shared" si="0"/>
        <v>348060</v>
      </c>
      <c r="H20" s="17">
        <f t="shared" si="1"/>
        <v>21.88</v>
      </c>
      <c r="I20" s="16">
        <f t="shared" si="2"/>
        <v>4.8000000000000001E-2</v>
      </c>
      <c r="J20" s="16">
        <f>ROUND(G20/343560-1,2)</f>
        <v>0.01</v>
      </c>
    </row>
    <row r="21" spans="1:10" x14ac:dyDescent="0.25">
      <c r="A21" s="1" t="s">
        <v>16</v>
      </c>
      <c r="B21" s="1" t="s">
        <v>24</v>
      </c>
      <c r="C21" s="11">
        <v>809325</v>
      </c>
      <c r="D21" s="11"/>
      <c r="E21" s="11">
        <v>112030</v>
      </c>
      <c r="F21" s="11">
        <v>27505</v>
      </c>
      <c r="G21" s="11">
        <f t="shared" si="0"/>
        <v>948860</v>
      </c>
      <c r="H21" s="17">
        <f t="shared" si="1"/>
        <v>59.65</v>
      </c>
      <c r="I21" s="16">
        <f t="shared" si="2"/>
        <v>0.13</v>
      </c>
      <c r="J21" s="16">
        <f>ROUND(G21/966110-1,2)</f>
        <v>-0.02</v>
      </c>
    </row>
    <row r="22" spans="1:10" x14ac:dyDescent="0.25">
      <c r="A22" s="1" t="s">
        <v>16</v>
      </c>
      <c r="B22" s="1" t="s">
        <v>25</v>
      </c>
      <c r="C22" s="11"/>
      <c r="D22" s="11"/>
      <c r="E22" s="11">
        <v>26245</v>
      </c>
      <c r="F22" s="11"/>
      <c r="G22" s="11">
        <f t="shared" si="0"/>
        <v>26245</v>
      </c>
      <c r="H22" s="17">
        <f t="shared" si="1"/>
        <v>1.65</v>
      </c>
      <c r="I22" s="16">
        <f t="shared" si="2"/>
        <v>4.0000000000000001E-3</v>
      </c>
      <c r="J22" s="16">
        <f>ROUND(G22/22035-1,2)</f>
        <v>0.19</v>
      </c>
    </row>
    <row r="23" spans="1:10" x14ac:dyDescent="0.25">
      <c r="A23" s="1" t="s">
        <v>16</v>
      </c>
      <c r="B23" s="1" t="s">
        <v>26</v>
      </c>
      <c r="C23" s="11">
        <v>1243390</v>
      </c>
      <c r="D23" s="11"/>
      <c r="E23" s="11"/>
      <c r="F23" s="11">
        <v>5990</v>
      </c>
      <c r="G23" s="11">
        <f t="shared" si="0"/>
        <v>1249380</v>
      </c>
      <c r="H23" s="17">
        <f t="shared" si="1"/>
        <v>78.55</v>
      </c>
      <c r="I23" s="16">
        <f t="shared" si="2"/>
        <v>0.17100000000000001</v>
      </c>
      <c r="J23" s="16">
        <f>ROUND(G23/1139040-1,2)</f>
        <v>0.1</v>
      </c>
    </row>
    <row r="24" spans="1:10" x14ac:dyDescent="0.25">
      <c r="A24" s="1" t="s">
        <v>16</v>
      </c>
      <c r="B24" s="1" t="s">
        <v>27</v>
      </c>
      <c r="C24" s="11"/>
      <c r="D24" s="11"/>
      <c r="E24" s="11">
        <v>9292</v>
      </c>
      <c r="F24" s="11"/>
      <c r="G24" s="11">
        <f t="shared" si="0"/>
        <v>9292</v>
      </c>
      <c r="H24" s="17">
        <f t="shared" si="1"/>
        <v>0.57999999999999996</v>
      </c>
      <c r="I24" s="16">
        <f t="shared" si="2"/>
        <v>1E-3</v>
      </c>
      <c r="J24" s="16">
        <f>ROUND(G24/5257-1,2)</f>
        <v>0.77</v>
      </c>
    </row>
    <row r="25" spans="1:10" x14ac:dyDescent="0.25">
      <c r="A25" s="1" t="s">
        <v>16</v>
      </c>
      <c r="B25" s="1" t="s">
        <v>28</v>
      </c>
      <c r="C25" s="11"/>
      <c r="D25" s="11"/>
      <c r="E25" s="11">
        <v>6073</v>
      </c>
      <c r="F25" s="11"/>
      <c r="G25" s="11">
        <f t="shared" si="0"/>
        <v>6073</v>
      </c>
      <c r="H25" s="17">
        <f t="shared" si="1"/>
        <v>0.38</v>
      </c>
      <c r="I25" s="16">
        <f t="shared" si="2"/>
        <v>1E-3</v>
      </c>
      <c r="J25" s="16">
        <f>ROUND(G25/3599-1,2)</f>
        <v>0.69</v>
      </c>
    </row>
    <row r="26" spans="1:10" x14ac:dyDescent="0.25">
      <c r="A26" s="1" t="s">
        <v>16</v>
      </c>
      <c r="B26" s="1" t="s">
        <v>29</v>
      </c>
      <c r="C26" s="11"/>
      <c r="D26" s="11"/>
      <c r="E26" s="11">
        <v>765</v>
      </c>
      <c r="F26" s="11"/>
      <c r="G26" s="11">
        <f t="shared" si="0"/>
        <v>765</v>
      </c>
      <c r="H26" s="17">
        <f t="shared" si="1"/>
        <v>0.05</v>
      </c>
      <c r="I26" s="16">
        <f t="shared" si="2"/>
        <v>0</v>
      </c>
      <c r="J26" s="16">
        <f>ROUND(G26/1019-1,2)</f>
        <v>-0.25</v>
      </c>
    </row>
    <row r="27" spans="1:10" x14ac:dyDescent="0.25">
      <c r="A27" s="1" t="s">
        <v>16</v>
      </c>
      <c r="B27" s="1" t="s">
        <v>30</v>
      </c>
      <c r="C27" s="11"/>
      <c r="D27" s="11"/>
      <c r="E27" s="11">
        <v>21320</v>
      </c>
      <c r="F27" s="11"/>
      <c r="G27" s="11">
        <f t="shared" si="0"/>
        <v>21320</v>
      </c>
      <c r="H27" s="17">
        <f t="shared" si="1"/>
        <v>1.34</v>
      </c>
      <c r="I27" s="16">
        <f t="shared" si="2"/>
        <v>3.0000000000000001E-3</v>
      </c>
      <c r="J27" s="16">
        <f>ROUND(G27/26660-1,2)</f>
        <v>-0.2</v>
      </c>
    </row>
    <row r="28" spans="1:10" x14ac:dyDescent="0.25">
      <c r="A28" s="1" t="s">
        <v>16</v>
      </c>
      <c r="B28" s="1" t="s">
        <v>31</v>
      </c>
      <c r="C28" s="11"/>
      <c r="D28" s="11"/>
      <c r="E28" s="11">
        <v>6140</v>
      </c>
      <c r="F28" s="11"/>
      <c r="G28" s="11">
        <f t="shared" si="0"/>
        <v>6140</v>
      </c>
      <c r="H28" s="17">
        <f t="shared" si="1"/>
        <v>0.39</v>
      </c>
      <c r="I28" s="16">
        <f t="shared" si="2"/>
        <v>1E-3</v>
      </c>
      <c r="J28" s="16">
        <f>ROUND(G28/5770-1,2)</f>
        <v>0.06</v>
      </c>
    </row>
    <row r="29" spans="1:10" x14ac:dyDescent="0.25">
      <c r="A29" s="1" t="s">
        <v>16</v>
      </c>
      <c r="B29" s="1" t="s">
        <v>32</v>
      </c>
      <c r="C29" s="11"/>
      <c r="D29" s="11"/>
      <c r="E29" s="11">
        <v>3100</v>
      </c>
      <c r="F29" s="11"/>
      <c r="G29" s="11">
        <f t="shared" si="0"/>
        <v>3100</v>
      </c>
      <c r="H29" s="17">
        <f t="shared" si="1"/>
        <v>0.19</v>
      </c>
      <c r="I29" s="16">
        <f t="shared" si="2"/>
        <v>0</v>
      </c>
      <c r="J29" s="16">
        <f>ROUND(G29/2490-1,2)</f>
        <v>0.24</v>
      </c>
    </row>
    <row r="30" spans="1:10" x14ac:dyDescent="0.25">
      <c r="A30" s="1" t="s">
        <v>16</v>
      </c>
      <c r="B30" s="1" t="s">
        <v>33</v>
      </c>
      <c r="C30" s="11"/>
      <c r="D30" s="11"/>
      <c r="E30" s="11">
        <v>9340</v>
      </c>
      <c r="F30" s="11"/>
      <c r="G30" s="11">
        <f t="shared" si="0"/>
        <v>9340</v>
      </c>
      <c r="H30" s="17">
        <f t="shared" si="1"/>
        <v>0.59</v>
      </c>
      <c r="I30" s="16">
        <f t="shared" si="2"/>
        <v>1E-3</v>
      </c>
      <c r="J30" s="16">
        <f>ROUND(G30/9914-1,2)</f>
        <v>-0.06</v>
      </c>
    </row>
    <row r="31" spans="1:10" x14ac:dyDescent="0.25">
      <c r="A31" s="1" t="s">
        <v>16</v>
      </c>
      <c r="B31" s="1" t="s">
        <v>34</v>
      </c>
      <c r="C31" s="11"/>
      <c r="D31" s="11">
        <v>680</v>
      </c>
      <c r="E31" s="11">
        <v>1203</v>
      </c>
      <c r="F31" s="11"/>
      <c r="G31" s="11">
        <f t="shared" si="0"/>
        <v>1883</v>
      </c>
      <c r="H31" s="17">
        <f t="shared" si="1"/>
        <v>0.12</v>
      </c>
      <c r="I31" s="16">
        <f t="shared" si="2"/>
        <v>0</v>
      </c>
      <c r="J31" s="16">
        <f>ROUND(G31/1592-1,2)</f>
        <v>0.18</v>
      </c>
    </row>
    <row r="32" spans="1:10" x14ac:dyDescent="0.25">
      <c r="A32" s="1" t="s">
        <v>16</v>
      </c>
      <c r="B32" s="1" t="s">
        <v>36</v>
      </c>
      <c r="C32" s="11"/>
      <c r="D32" s="11"/>
      <c r="E32" s="11">
        <v>1480</v>
      </c>
      <c r="F32" s="11"/>
      <c r="G32" s="11">
        <f t="shared" si="0"/>
        <v>1480</v>
      </c>
      <c r="H32" s="17">
        <f t="shared" si="1"/>
        <v>0.09</v>
      </c>
      <c r="I32" s="16">
        <f t="shared" si="2"/>
        <v>0</v>
      </c>
      <c r="J32" s="16">
        <f>ROUND(G32/2625-1,2)</f>
        <v>-0.44</v>
      </c>
    </row>
    <row r="33" spans="1:10" x14ac:dyDescent="0.25">
      <c r="A33" s="1" t="s">
        <v>16</v>
      </c>
      <c r="B33" s="1" t="s">
        <v>35</v>
      </c>
      <c r="C33" s="11"/>
      <c r="D33" s="11"/>
      <c r="E33" s="11">
        <v>4295</v>
      </c>
      <c r="F33" s="11"/>
      <c r="G33" s="11">
        <f t="shared" si="0"/>
        <v>4295</v>
      </c>
      <c r="H33" s="17">
        <f t="shared" si="1"/>
        <v>0.27</v>
      </c>
      <c r="I33" s="16">
        <f t="shared" si="2"/>
        <v>1E-3</v>
      </c>
      <c r="J33" s="16">
        <f>ROUND(G33/3530-1,2)</f>
        <v>0.22</v>
      </c>
    </row>
    <row r="34" spans="1:10" x14ac:dyDescent="0.25">
      <c r="A34" s="1" t="s">
        <v>16</v>
      </c>
      <c r="B34" s="1" t="s">
        <v>37</v>
      </c>
      <c r="C34" s="11"/>
      <c r="D34" s="11"/>
      <c r="E34" s="11">
        <v>10490</v>
      </c>
      <c r="F34" s="11"/>
      <c r="G34" s="11">
        <f t="shared" si="0"/>
        <v>10490</v>
      </c>
      <c r="H34" s="17">
        <f t="shared" si="1"/>
        <v>0.66</v>
      </c>
      <c r="I34" s="16">
        <f t="shared" si="2"/>
        <v>1E-3</v>
      </c>
      <c r="J34" s="16">
        <f>ROUND(G34/12860-1,2)</f>
        <v>-0.18</v>
      </c>
    </row>
    <row r="35" spans="1:10" x14ac:dyDescent="0.25">
      <c r="A35" s="1" t="s">
        <v>16</v>
      </c>
      <c r="B35" s="1" t="s">
        <v>38</v>
      </c>
      <c r="C35" s="11"/>
      <c r="D35" s="11"/>
      <c r="E35" s="11">
        <v>18310</v>
      </c>
      <c r="F35" s="11"/>
      <c r="G35" s="11">
        <f t="shared" si="0"/>
        <v>18310</v>
      </c>
      <c r="H35" s="17">
        <f t="shared" si="1"/>
        <v>1.1499999999999999</v>
      </c>
      <c r="I35" s="16">
        <f t="shared" si="2"/>
        <v>3.0000000000000001E-3</v>
      </c>
      <c r="J35" s="16">
        <f>ROUND(G35/51190-1,2)</f>
        <v>-0.64</v>
      </c>
    </row>
    <row r="36" spans="1:10" x14ac:dyDescent="0.25">
      <c r="A36" s="1" t="s">
        <v>16</v>
      </c>
      <c r="B36" s="1" t="s">
        <v>39</v>
      </c>
      <c r="C36" s="11"/>
      <c r="D36" s="11"/>
      <c r="E36" s="11">
        <v>51170</v>
      </c>
      <c r="F36" s="11"/>
      <c r="G36" s="11">
        <f t="shared" si="0"/>
        <v>51170</v>
      </c>
      <c r="H36" s="17">
        <f t="shared" si="1"/>
        <v>3.22</v>
      </c>
      <c r="I36" s="16">
        <f t="shared" si="2"/>
        <v>7.0000000000000001E-3</v>
      </c>
      <c r="J36" s="16">
        <f>ROUND(G36/25120-1,2)</f>
        <v>1.04</v>
      </c>
    </row>
    <row r="37" spans="1:10" x14ac:dyDescent="0.25">
      <c r="A37" s="1" t="s">
        <v>16</v>
      </c>
      <c r="B37" s="1" t="s">
        <v>40</v>
      </c>
      <c r="C37" s="11"/>
      <c r="D37" s="11"/>
      <c r="E37" s="11">
        <v>491095</v>
      </c>
      <c r="F37" s="11"/>
      <c r="G37" s="11">
        <f t="shared" si="0"/>
        <v>491095</v>
      </c>
      <c r="H37" s="17">
        <f t="shared" si="1"/>
        <v>30.87</v>
      </c>
      <c r="I37" s="16">
        <f t="shared" si="2"/>
        <v>6.7000000000000004E-2</v>
      </c>
      <c r="J37" s="16">
        <f>ROUND(G37/479435-1,2)</f>
        <v>0.02</v>
      </c>
    </row>
    <row r="38" spans="1:10" x14ac:dyDescent="0.25">
      <c r="A38" s="1" t="s">
        <v>16</v>
      </c>
      <c r="B38" s="1" t="s">
        <v>41</v>
      </c>
      <c r="C38" s="11"/>
      <c r="D38" s="11"/>
      <c r="E38" s="11">
        <v>29945</v>
      </c>
      <c r="F38" s="11"/>
      <c r="G38" s="11">
        <f t="shared" si="0"/>
        <v>29945</v>
      </c>
      <c r="H38" s="17">
        <f t="shared" si="1"/>
        <v>1.88</v>
      </c>
      <c r="I38" s="16">
        <f t="shared" si="2"/>
        <v>4.0000000000000001E-3</v>
      </c>
      <c r="J38" s="16">
        <f>ROUND(G38/30285-1,2)</f>
        <v>-0.01</v>
      </c>
    </row>
    <row r="39" spans="1:10" x14ac:dyDescent="0.25">
      <c r="A39" s="1" t="s">
        <v>16</v>
      </c>
      <c r="B39" s="1" t="s">
        <v>42</v>
      </c>
      <c r="C39" s="11"/>
      <c r="D39" s="11"/>
      <c r="E39" s="11">
        <v>108000</v>
      </c>
      <c r="F39" s="11"/>
      <c r="G39" s="11">
        <f t="shared" si="0"/>
        <v>108000</v>
      </c>
      <c r="H39" s="17">
        <f t="shared" si="1"/>
        <v>6.79</v>
      </c>
      <c r="I39" s="16">
        <f t="shared" si="2"/>
        <v>1.4999999999999999E-2</v>
      </c>
      <c r="J39" s="16">
        <f>ROUND(G39/105420-1,2)</f>
        <v>0.02</v>
      </c>
    </row>
    <row r="40" spans="1:10" x14ac:dyDescent="0.25">
      <c r="A40" s="1" t="s">
        <v>16</v>
      </c>
      <c r="B40" s="1" t="s">
        <v>43</v>
      </c>
      <c r="C40" s="11"/>
      <c r="D40" s="11"/>
      <c r="E40" s="11">
        <v>770</v>
      </c>
      <c r="F40" s="11"/>
      <c r="G40" s="11">
        <f t="shared" si="0"/>
        <v>770</v>
      </c>
      <c r="H40" s="17">
        <f t="shared" si="1"/>
        <v>0.05</v>
      </c>
      <c r="I40" s="16">
        <f t="shared" si="2"/>
        <v>0</v>
      </c>
      <c r="J40" s="16"/>
    </row>
    <row r="41" spans="1:10" x14ac:dyDescent="0.25">
      <c r="A41" s="1" t="s">
        <v>16</v>
      </c>
      <c r="B41" s="1" t="s">
        <v>44</v>
      </c>
      <c r="C41" s="11"/>
      <c r="D41" s="11"/>
      <c r="E41" s="11">
        <v>1135830</v>
      </c>
      <c r="F41" s="11">
        <v>13060</v>
      </c>
      <c r="G41" s="11">
        <f t="shared" si="0"/>
        <v>1148890</v>
      </c>
      <c r="H41" s="17">
        <f t="shared" si="1"/>
        <v>72.23</v>
      </c>
      <c r="I41" s="16">
        <f t="shared" si="2"/>
        <v>0.157</v>
      </c>
      <c r="J41" s="16">
        <f>ROUND(G41/1138350-1,2)</f>
        <v>0.01</v>
      </c>
    </row>
    <row r="42" spans="1:10" x14ac:dyDescent="0.25">
      <c r="A42" s="1" t="s">
        <v>16</v>
      </c>
      <c r="B42" s="1" t="s">
        <v>128</v>
      </c>
      <c r="C42" s="11"/>
      <c r="D42" s="11"/>
      <c r="E42" s="11"/>
      <c r="F42" s="11"/>
      <c r="G42" s="11">
        <f t="shared" si="0"/>
        <v>0</v>
      </c>
      <c r="H42" s="17">
        <f t="shared" si="1"/>
        <v>0</v>
      </c>
      <c r="I42" s="16">
        <f t="shared" si="2"/>
        <v>0</v>
      </c>
      <c r="J42" s="16"/>
    </row>
    <row r="43" spans="1:10" x14ac:dyDescent="0.25">
      <c r="A43" s="1" t="s">
        <v>16</v>
      </c>
      <c r="B43" s="1" t="s">
        <v>116</v>
      </c>
      <c r="C43" s="11"/>
      <c r="D43" s="11"/>
      <c r="E43" s="11"/>
      <c r="F43" s="11"/>
      <c r="G43" s="11">
        <f t="shared" si="0"/>
        <v>0</v>
      </c>
      <c r="H43" s="17">
        <f t="shared" si="1"/>
        <v>0</v>
      </c>
      <c r="I43" s="16">
        <f t="shared" si="2"/>
        <v>0</v>
      </c>
      <c r="J43" s="16"/>
    </row>
    <row r="44" spans="1:10" x14ac:dyDescent="0.25">
      <c r="A44" s="1" t="s">
        <v>16</v>
      </c>
      <c r="B44" s="1" t="s">
        <v>129</v>
      </c>
      <c r="C44" s="11"/>
      <c r="D44" s="11"/>
      <c r="E44" s="11"/>
      <c r="F44" s="11"/>
      <c r="G44" s="11">
        <f t="shared" si="0"/>
        <v>0</v>
      </c>
      <c r="H44" s="17">
        <f t="shared" si="1"/>
        <v>0</v>
      </c>
      <c r="I44" s="16">
        <f t="shared" si="2"/>
        <v>0</v>
      </c>
      <c r="J44" s="16"/>
    </row>
    <row r="45" spans="1:10" x14ac:dyDescent="0.25">
      <c r="A45" s="1" t="s">
        <v>16</v>
      </c>
      <c r="B45" s="1" t="s">
        <v>96</v>
      </c>
      <c r="C45" s="11"/>
      <c r="D45" s="11"/>
      <c r="E45" s="11"/>
      <c r="F45" s="11"/>
      <c r="G45" s="11">
        <f t="shared" si="0"/>
        <v>0</v>
      </c>
      <c r="H45" s="17">
        <f t="shared" si="1"/>
        <v>0</v>
      </c>
      <c r="I45" s="16">
        <f t="shared" si="2"/>
        <v>0</v>
      </c>
      <c r="J45" s="16"/>
    </row>
    <row r="46" spans="1:10" x14ac:dyDescent="0.25">
      <c r="A46" s="1" t="s">
        <v>16</v>
      </c>
      <c r="B46" s="1" t="s">
        <v>130</v>
      </c>
      <c r="C46" s="11"/>
      <c r="D46" s="11"/>
      <c r="E46" s="11"/>
      <c r="F46" s="11"/>
      <c r="G46" s="11">
        <f t="shared" si="0"/>
        <v>0</v>
      </c>
      <c r="H46" s="17">
        <f t="shared" si="1"/>
        <v>0</v>
      </c>
      <c r="I46" s="16">
        <f t="shared" si="2"/>
        <v>0</v>
      </c>
      <c r="J46" s="16"/>
    </row>
    <row r="47" spans="1:10" x14ac:dyDescent="0.25">
      <c r="A47" s="1" t="s">
        <v>45</v>
      </c>
      <c r="B47" s="1" t="s">
        <v>46</v>
      </c>
      <c r="C47" s="11">
        <v>1026750</v>
      </c>
      <c r="D47" s="11"/>
      <c r="E47" s="11"/>
      <c r="F47" s="11">
        <v>34390</v>
      </c>
      <c r="G47" s="11">
        <f t="shared" si="0"/>
        <v>1061140</v>
      </c>
      <c r="H47" s="17">
        <f t="shared" si="1"/>
        <v>66.709999999999994</v>
      </c>
      <c r="I47" s="16">
        <f t="shared" si="2"/>
        <v>0.14499999999999999</v>
      </c>
      <c r="J47" s="16">
        <f>ROUND(G47/1521200-1,2)</f>
        <v>-0.3</v>
      </c>
    </row>
    <row r="48" spans="1:10" x14ac:dyDescent="0.25">
      <c r="A48" s="1" t="s">
        <v>45</v>
      </c>
      <c r="B48" s="1" t="s">
        <v>48</v>
      </c>
      <c r="C48" s="11"/>
      <c r="D48" s="11"/>
      <c r="E48" s="11"/>
      <c r="F48" s="11">
        <v>276750</v>
      </c>
      <c r="G48" s="11">
        <f t="shared" si="0"/>
        <v>276750</v>
      </c>
      <c r="H48" s="17">
        <f t="shared" si="1"/>
        <v>17.399999999999999</v>
      </c>
      <c r="I48" s="16">
        <f t="shared" si="2"/>
        <v>3.7999999999999999E-2</v>
      </c>
      <c r="J48" s="16">
        <f>ROUND(G48/171480-1,2)</f>
        <v>0.61</v>
      </c>
    </row>
    <row r="49" spans="1:10" x14ac:dyDescent="0.25">
      <c r="A49" s="1" t="s">
        <v>45</v>
      </c>
      <c r="B49" s="1" t="s">
        <v>47</v>
      </c>
      <c r="C49" s="11"/>
      <c r="D49" s="11"/>
      <c r="E49" s="11">
        <v>252125</v>
      </c>
      <c r="F49" s="11"/>
      <c r="G49" s="11">
        <f t="shared" si="0"/>
        <v>252125</v>
      </c>
      <c r="H49" s="17">
        <f t="shared" si="1"/>
        <v>15.85</v>
      </c>
      <c r="I49" s="16">
        <f t="shared" si="2"/>
        <v>3.4000000000000002E-2</v>
      </c>
      <c r="J49" s="16">
        <f>ROUND(G49/264040-1,2)</f>
        <v>-0.05</v>
      </c>
    </row>
    <row r="50" spans="1:10" x14ac:dyDescent="0.25">
      <c r="A50" s="26" t="s">
        <v>12</v>
      </c>
      <c r="B50" s="26"/>
      <c r="C50" s="12">
        <f t="shared" ref="C50:H50" si="3">SUM(C8:C49)</f>
        <v>4260905</v>
      </c>
      <c r="D50" s="12">
        <f t="shared" si="3"/>
        <v>680</v>
      </c>
      <c r="E50" s="12">
        <f t="shared" si="3"/>
        <v>2683993</v>
      </c>
      <c r="F50" s="12">
        <f t="shared" si="3"/>
        <v>364795</v>
      </c>
      <c r="G50" s="12">
        <f t="shared" si="3"/>
        <v>7310373</v>
      </c>
      <c r="H50" s="15">
        <f t="shared" si="3"/>
        <v>459.58000000000004</v>
      </c>
      <c r="I50" s="18"/>
      <c r="J50" s="18"/>
    </row>
    <row r="51" spans="1:10" x14ac:dyDescent="0.25">
      <c r="A51" s="26" t="s">
        <v>14</v>
      </c>
      <c r="B51" s="26"/>
      <c r="C51" s="13">
        <f>ROUND(C50/G50,2)</f>
        <v>0.57999999999999996</v>
      </c>
      <c r="D51" s="13">
        <f>ROUND(D50/G50,2)</f>
        <v>0</v>
      </c>
      <c r="E51" s="13">
        <f>ROUND(E50/G50,2)</f>
        <v>0.37</v>
      </c>
      <c r="F51" s="13">
        <f>ROUND(F50/G50,2)</f>
        <v>0.05</v>
      </c>
      <c r="G51" s="14"/>
      <c r="H51" s="14"/>
      <c r="I51" s="18"/>
      <c r="J51" s="18"/>
    </row>
    <row r="52" spans="1:10" x14ac:dyDescent="0.25">
      <c r="A52" s="2" t="s">
        <v>53</v>
      </c>
      <c r="B52" s="2"/>
      <c r="C52" s="14"/>
      <c r="D52" s="14"/>
      <c r="E52" s="14"/>
      <c r="F52" s="14"/>
      <c r="G52" s="14"/>
      <c r="H52" s="14"/>
      <c r="I52" s="18"/>
      <c r="J52" s="18"/>
    </row>
    <row r="53" spans="1:10" x14ac:dyDescent="0.25">
      <c r="C53" s="9"/>
      <c r="D53" s="9"/>
      <c r="E53" s="9"/>
      <c r="F53" s="9"/>
      <c r="G53" s="9"/>
      <c r="H53" s="9"/>
      <c r="I53" s="10"/>
      <c r="J53" s="10"/>
    </row>
    <row r="54" spans="1:10" x14ac:dyDescent="0.25">
      <c r="C54" s="9"/>
      <c r="D54" s="9"/>
      <c r="E54" s="9"/>
      <c r="F54" s="9"/>
      <c r="G54" s="9"/>
      <c r="H54" s="9"/>
      <c r="I54" s="10"/>
      <c r="J54" s="10"/>
    </row>
    <row r="55" spans="1:10" x14ac:dyDescent="0.25">
      <c r="C55" s="9"/>
      <c r="D55" s="9"/>
      <c r="E55" s="9"/>
      <c r="F55" s="9"/>
      <c r="G55" s="9"/>
      <c r="H55" s="9"/>
      <c r="I55" s="10"/>
      <c r="J55" s="10"/>
    </row>
    <row r="56" spans="1:10" x14ac:dyDescent="0.25">
      <c r="A56" s="26" t="s">
        <v>54</v>
      </c>
      <c r="B56" s="26"/>
      <c r="C56" s="12" t="s">
        <v>8</v>
      </c>
      <c r="D56" s="12" t="s">
        <v>9</v>
      </c>
      <c r="E56" s="12" t="s">
        <v>10</v>
      </c>
      <c r="F56" s="12" t="s">
        <v>11</v>
      </c>
      <c r="G56" s="12" t="s">
        <v>12</v>
      </c>
      <c r="H56" s="15" t="s">
        <v>13</v>
      </c>
      <c r="I56" s="18"/>
      <c r="J56" s="18"/>
    </row>
    <row r="57" spans="1:10" x14ac:dyDescent="0.25">
      <c r="A57" s="21" t="s">
        <v>55</v>
      </c>
      <c r="B57" s="21"/>
      <c r="C57" s="11">
        <v>3234155</v>
      </c>
      <c r="D57" s="11">
        <v>680</v>
      </c>
      <c r="E57" s="11">
        <v>2431868</v>
      </c>
      <c r="F57" s="11">
        <v>52975</v>
      </c>
      <c r="G57" s="11">
        <f>SUM(C57:F57)</f>
        <v>5719678</v>
      </c>
      <c r="H57" s="17">
        <f>ROUND(G57/15906,2)</f>
        <v>359.59</v>
      </c>
      <c r="I57" s="10"/>
      <c r="J57" s="10"/>
    </row>
    <row r="58" spans="1:10" x14ac:dyDescent="0.25">
      <c r="A58" s="21" t="s">
        <v>56</v>
      </c>
      <c r="B58" s="21"/>
      <c r="C58" s="11">
        <v>1026750</v>
      </c>
      <c r="D58" s="11">
        <v>0</v>
      </c>
      <c r="E58" s="11">
        <v>252125</v>
      </c>
      <c r="F58" s="11">
        <v>311140</v>
      </c>
      <c r="G58" s="11">
        <f>SUM(C58:F58)</f>
        <v>1590015</v>
      </c>
      <c r="H58" s="17">
        <f>ROUND(G58/15906,2)</f>
        <v>99.96</v>
      </c>
      <c r="I58" s="10"/>
      <c r="J58" s="10"/>
    </row>
    <row r="59" spans="1:10" x14ac:dyDescent="0.25">
      <c r="A59" s="21" t="s">
        <v>57</v>
      </c>
      <c r="B59" s="21"/>
      <c r="C59" s="11">
        <v>0</v>
      </c>
      <c r="D59" s="11">
        <v>0</v>
      </c>
      <c r="E59" s="11">
        <v>0</v>
      </c>
      <c r="F59" s="11">
        <v>680</v>
      </c>
      <c r="G59" s="11">
        <f>SUM(C59:F59)</f>
        <v>680</v>
      </c>
      <c r="H59" s="17">
        <f>ROUND(G59/15906,2)</f>
        <v>0.04</v>
      </c>
      <c r="I59" s="10"/>
      <c r="J59" s="10"/>
    </row>
    <row r="60" spans="1:10" x14ac:dyDescent="0.25">
      <c r="C60" s="9"/>
      <c r="D60" s="9"/>
      <c r="E60" s="9"/>
      <c r="F60" s="9"/>
      <c r="G60" s="9"/>
      <c r="H60" s="9"/>
      <c r="I60" s="10"/>
      <c r="J60" s="10"/>
    </row>
    <row r="61" spans="1:10" x14ac:dyDescent="0.25">
      <c r="C61" s="9"/>
      <c r="D61" s="9"/>
      <c r="E61" s="9"/>
      <c r="F61" s="9"/>
      <c r="G61" s="9"/>
      <c r="H61" s="9"/>
      <c r="I61" s="10"/>
      <c r="J61" s="10"/>
    </row>
    <row r="62" spans="1:10" x14ac:dyDescent="0.25">
      <c r="C62" s="9"/>
      <c r="D62" s="9"/>
      <c r="E62" s="9"/>
      <c r="F62" s="9"/>
      <c r="G62" s="9"/>
      <c r="H62" s="9"/>
      <c r="I62" s="10"/>
      <c r="J62" s="10"/>
    </row>
    <row r="63" spans="1:10" x14ac:dyDescent="0.25">
      <c r="C63" s="9"/>
      <c r="D63" s="9"/>
      <c r="E63" s="9"/>
      <c r="F63" s="9"/>
      <c r="G63" s="9"/>
      <c r="H63" s="9"/>
      <c r="I63" s="10"/>
      <c r="J63" s="10"/>
    </row>
    <row r="64" spans="1:10" x14ac:dyDescent="0.25">
      <c r="A64" s="26" t="s">
        <v>58</v>
      </c>
      <c r="B64" s="26"/>
      <c r="C64" s="15" t="s">
        <v>2</v>
      </c>
      <c r="D64" s="15">
        <v>2024</v>
      </c>
      <c r="E64" s="15" t="s">
        <v>60</v>
      </c>
      <c r="F64" s="14"/>
      <c r="G64" s="15" t="s">
        <v>61</v>
      </c>
      <c r="H64" s="15" t="s">
        <v>2</v>
      </c>
      <c r="I64" s="13" t="s">
        <v>62</v>
      </c>
      <c r="J64" s="13" t="s">
        <v>60</v>
      </c>
    </row>
    <row r="65" spans="1:10" x14ac:dyDescent="0.25">
      <c r="A65" s="21" t="s">
        <v>59</v>
      </c>
      <c r="B65" s="21"/>
      <c r="C65" s="16">
        <f>ROUND(0.8475, 4)</f>
        <v>0.84750000000000003</v>
      </c>
      <c r="D65" s="16">
        <f>ROUND(0.7836, 4)</f>
        <v>0.78359999999999996</v>
      </c>
      <c r="E65" s="16">
        <f>ROUND(0.7856, 4)</f>
        <v>0.78559999999999997</v>
      </c>
      <c r="F65" s="9"/>
      <c r="G65" s="15" t="s">
        <v>63</v>
      </c>
      <c r="H65" s="27" t="s">
        <v>64</v>
      </c>
      <c r="I65" s="24" t="s">
        <v>65</v>
      </c>
      <c r="J65" s="24" t="s">
        <v>66</v>
      </c>
    </row>
    <row r="66" spans="1:10" x14ac:dyDescent="0.25">
      <c r="A66" s="21" t="s">
        <v>67</v>
      </c>
      <c r="B66" s="21"/>
      <c r="C66" s="8">
        <f>ROUND(0.8475, 4)</f>
        <v>0.84750000000000003</v>
      </c>
      <c r="D66" s="8">
        <f>ROUND(0.7743, 4)</f>
        <v>0.77429999999999999</v>
      </c>
      <c r="E66" s="8">
        <f>ROUND(0.7702, 4)</f>
        <v>0.7702</v>
      </c>
      <c r="G66" s="3" t="s">
        <v>68</v>
      </c>
      <c r="H66" s="21"/>
      <c r="I66" s="21"/>
      <c r="J66" s="21"/>
    </row>
    <row r="70" spans="1:10" x14ac:dyDescent="0.25">
      <c r="A70" s="26" t="s">
        <v>69</v>
      </c>
      <c r="B70" s="26"/>
      <c r="C70" s="3" t="s">
        <v>2</v>
      </c>
      <c r="D70" s="3" t="s">
        <v>131</v>
      </c>
      <c r="E70" s="3" t="s">
        <v>71</v>
      </c>
      <c r="F70" s="3" t="s">
        <v>72</v>
      </c>
      <c r="G70" s="3" t="s">
        <v>73</v>
      </c>
      <c r="H70" s="2"/>
      <c r="I70" s="2"/>
      <c r="J70" s="2"/>
    </row>
    <row r="71" spans="1:10" x14ac:dyDescent="0.25">
      <c r="A71" s="21" t="s">
        <v>74</v>
      </c>
      <c r="B71" s="21"/>
      <c r="C71" s="1">
        <v>66.709999999999994</v>
      </c>
      <c r="D71" s="1">
        <v>89.02</v>
      </c>
      <c r="E71" s="1">
        <v>96.15</v>
      </c>
      <c r="F71" s="1">
        <v>57.94</v>
      </c>
      <c r="G71" s="1">
        <f>12/12*C71</f>
        <v>66.709999999999994</v>
      </c>
    </row>
    <row r="72" spans="1:10" x14ac:dyDescent="0.25">
      <c r="A72" s="21" t="s">
        <v>75</v>
      </c>
      <c r="B72" s="21"/>
      <c r="C72" s="1">
        <v>78.55</v>
      </c>
      <c r="D72" s="1">
        <v>75.27</v>
      </c>
      <c r="E72" s="1">
        <v>62.28</v>
      </c>
      <c r="F72" s="1">
        <v>66.599999999999994</v>
      </c>
      <c r="G72" s="1">
        <f>12/12*C72</f>
        <v>78.55</v>
      </c>
    </row>
    <row r="73" spans="1:10" x14ac:dyDescent="0.25">
      <c r="A73" s="21" t="s">
        <v>76</v>
      </c>
      <c r="B73" s="21"/>
      <c r="C73" s="1">
        <v>359.59</v>
      </c>
      <c r="D73" s="1">
        <v>337.62</v>
      </c>
      <c r="E73" s="1">
        <v>300.02</v>
      </c>
      <c r="F73" s="1">
        <v>295.08</v>
      </c>
      <c r="G73" s="1">
        <f>12/12*C73</f>
        <v>359.59</v>
      </c>
    </row>
    <row r="74" spans="1:10" x14ac:dyDescent="0.25">
      <c r="A74" s="21" t="s">
        <v>77</v>
      </c>
      <c r="B74" s="21"/>
      <c r="C74" s="1">
        <v>99.96</v>
      </c>
      <c r="D74" s="1">
        <v>118.4</v>
      </c>
      <c r="E74" s="1">
        <v>120.96</v>
      </c>
      <c r="F74" s="1">
        <v>83.12</v>
      </c>
      <c r="G74" s="1">
        <f>12/12*C74</f>
        <v>99.96</v>
      </c>
    </row>
    <row r="77" spans="1:10" x14ac:dyDescent="0.25">
      <c r="A77" s="22" t="s">
        <v>61</v>
      </c>
      <c r="B77" s="23"/>
    </row>
    <row r="78" spans="1:10" x14ac:dyDescent="0.25">
      <c r="A78" s="3" t="s">
        <v>78</v>
      </c>
      <c r="B78" s="1" t="s">
        <v>132</v>
      </c>
    </row>
    <row r="79" spans="1:10" x14ac:dyDescent="0.25">
      <c r="A79" s="3" t="s">
        <v>71</v>
      </c>
      <c r="B79" s="1" t="s">
        <v>80</v>
      </c>
    </row>
    <row r="80" spans="1:10" x14ac:dyDescent="0.25">
      <c r="A80" s="3" t="s">
        <v>72</v>
      </c>
      <c r="B80" s="1" t="s">
        <v>81</v>
      </c>
    </row>
    <row r="81" spans="1:2" x14ac:dyDescent="0.25">
      <c r="A81" s="3" t="s">
        <v>73</v>
      </c>
      <c r="B81" s="1" t="s">
        <v>82</v>
      </c>
    </row>
  </sheetData>
  <mergeCells count="19">
    <mergeCell ref="C7:G7"/>
    <mergeCell ref="A50:B50"/>
    <mergeCell ref="A51:B51"/>
    <mergeCell ref="A56:B56"/>
    <mergeCell ref="A57:B57"/>
    <mergeCell ref="J65:J66"/>
    <mergeCell ref="A66:B66"/>
    <mergeCell ref="A70:B70"/>
    <mergeCell ref="A71:B71"/>
    <mergeCell ref="A58:B58"/>
    <mergeCell ref="A59:B59"/>
    <mergeCell ref="A64:B64"/>
    <mergeCell ref="A65:B65"/>
    <mergeCell ref="H65:H66"/>
    <mergeCell ref="A72:B72"/>
    <mergeCell ref="A73:B73"/>
    <mergeCell ref="A74:B74"/>
    <mergeCell ref="A77:B77"/>
    <mergeCell ref="I65:I6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J70"/>
  <sheetViews>
    <sheetView workbookViewId="0">
      <selection activeCell="H5" sqref="H5"/>
    </sheetView>
  </sheetViews>
  <sheetFormatPr defaultRowHeight="15" x14ac:dyDescent="0.25"/>
  <cols>
    <col min="1" max="1" width="28.42578125" bestFit="1" customWidth="1"/>
    <col min="2" max="2" width="65.7109375" bestFit="1" customWidth="1"/>
    <col min="3" max="3" width="12.7109375" bestFit="1" customWidth="1"/>
    <col min="4" max="4" width="43" bestFit="1" customWidth="1"/>
    <col min="5" max="5" width="13.85546875" bestFit="1" customWidth="1"/>
    <col min="6" max="6" width="8.5703125" bestFit="1" customWidth="1"/>
    <col min="7" max="7" width="47.7109375" bestFit="1" customWidth="1"/>
    <col min="8" max="9" width="16.7109375" bestFit="1" customWidth="1"/>
    <col min="10" max="10" width="24.42578125" bestFit="1" customWidth="1"/>
  </cols>
  <sheetData>
    <row r="2" spans="1:10" ht="18.75" x14ac:dyDescent="0.3">
      <c r="A2" s="3" t="s">
        <v>0</v>
      </c>
      <c r="B2" s="4" t="s">
        <v>133</v>
      </c>
    </row>
    <row r="3" spans="1:10" x14ac:dyDescent="0.25">
      <c r="A3" s="3" t="s">
        <v>2</v>
      </c>
      <c r="B3" s="1" t="s">
        <v>3</v>
      </c>
    </row>
    <row r="4" spans="1:10" x14ac:dyDescent="0.25">
      <c r="A4" s="3" t="s">
        <v>4</v>
      </c>
      <c r="B4" s="20">
        <v>2177</v>
      </c>
    </row>
    <row r="7" spans="1:10" x14ac:dyDescent="0.25">
      <c r="C7" s="22" t="s">
        <v>5</v>
      </c>
      <c r="D7" s="21"/>
      <c r="E7" s="21"/>
      <c r="F7" s="21"/>
      <c r="G7" s="21"/>
    </row>
    <row r="8" spans="1:10" x14ac:dyDescent="0.25">
      <c r="A8" s="3" t="s">
        <v>6</v>
      </c>
      <c r="B8" s="3" t="s">
        <v>7</v>
      </c>
      <c r="C8" s="15" t="s">
        <v>8</v>
      </c>
      <c r="D8" s="15" t="s">
        <v>9</v>
      </c>
      <c r="E8" s="15" t="s">
        <v>10</v>
      </c>
      <c r="F8" s="15" t="s">
        <v>11</v>
      </c>
      <c r="G8" s="15" t="s">
        <v>12</v>
      </c>
      <c r="H8" s="15" t="s">
        <v>13</v>
      </c>
      <c r="I8" s="15" t="s">
        <v>14</v>
      </c>
      <c r="J8" s="15" t="s">
        <v>15</v>
      </c>
    </row>
    <row r="9" spans="1:10" x14ac:dyDescent="0.25">
      <c r="A9" s="1" t="s">
        <v>16</v>
      </c>
      <c r="B9" s="1" t="s">
        <v>92</v>
      </c>
      <c r="C9" s="11"/>
      <c r="D9" s="11">
        <v>104940</v>
      </c>
      <c r="E9" s="11"/>
      <c r="F9" s="11"/>
      <c r="G9" s="11">
        <f t="shared" ref="G9:G33" si="0">SUM(C9:F9)</f>
        <v>104940</v>
      </c>
      <c r="H9" s="17">
        <f t="shared" ref="H9:H33" si="1">ROUND(G9/2177,2)</f>
        <v>48.2</v>
      </c>
      <c r="I9" s="16">
        <f t="shared" ref="I9:I33" si="2">ROUND(G9/$G$34,3)</f>
        <v>0.13300000000000001</v>
      </c>
      <c r="J9" s="16">
        <f>ROUND(G9/107620-1,2)</f>
        <v>-0.02</v>
      </c>
    </row>
    <row r="10" spans="1:10" x14ac:dyDescent="0.25">
      <c r="A10" s="1" t="s">
        <v>16</v>
      </c>
      <c r="B10" s="1" t="s">
        <v>134</v>
      </c>
      <c r="C10" s="11"/>
      <c r="D10" s="11">
        <v>5560</v>
      </c>
      <c r="E10" s="11">
        <v>430</v>
      </c>
      <c r="F10" s="11"/>
      <c r="G10" s="11">
        <f t="shared" si="0"/>
        <v>5990</v>
      </c>
      <c r="H10" s="17">
        <f t="shared" si="1"/>
        <v>2.75</v>
      </c>
      <c r="I10" s="16">
        <f t="shared" si="2"/>
        <v>8.0000000000000002E-3</v>
      </c>
      <c r="J10" s="16">
        <f>ROUND(G10/7850-1,2)</f>
        <v>-0.24</v>
      </c>
    </row>
    <row r="11" spans="1:10" x14ac:dyDescent="0.25">
      <c r="A11" s="1" t="s">
        <v>16</v>
      </c>
      <c r="B11" s="1" t="s">
        <v>20</v>
      </c>
      <c r="C11" s="11"/>
      <c r="D11" s="11">
        <v>95550</v>
      </c>
      <c r="E11" s="11"/>
      <c r="F11" s="11"/>
      <c r="G11" s="11">
        <f t="shared" si="0"/>
        <v>95550</v>
      </c>
      <c r="H11" s="17">
        <f t="shared" si="1"/>
        <v>43.89</v>
      </c>
      <c r="I11" s="16">
        <f t="shared" si="2"/>
        <v>0.121</v>
      </c>
      <c r="J11" s="16">
        <f>ROUND(G11/96330-1,2)</f>
        <v>-0.01</v>
      </c>
    </row>
    <row r="12" spans="1:10" x14ac:dyDescent="0.25">
      <c r="A12" s="1" t="s">
        <v>16</v>
      </c>
      <c r="B12" s="1" t="s">
        <v>24</v>
      </c>
      <c r="C12" s="11">
        <v>22300</v>
      </c>
      <c r="D12" s="11">
        <v>83380</v>
      </c>
      <c r="E12" s="11"/>
      <c r="F12" s="11"/>
      <c r="G12" s="11">
        <f t="shared" si="0"/>
        <v>105680</v>
      </c>
      <c r="H12" s="17">
        <f t="shared" si="1"/>
        <v>48.54</v>
      </c>
      <c r="I12" s="16">
        <f t="shared" si="2"/>
        <v>0.13400000000000001</v>
      </c>
      <c r="J12" s="16">
        <f>ROUND(G12/108120-1,2)</f>
        <v>-0.02</v>
      </c>
    </row>
    <row r="13" spans="1:10" x14ac:dyDescent="0.25">
      <c r="A13" s="1" t="s">
        <v>16</v>
      </c>
      <c r="B13" s="1" t="s">
        <v>25</v>
      </c>
      <c r="C13" s="11"/>
      <c r="D13" s="11"/>
      <c r="E13" s="11">
        <v>2330</v>
      </c>
      <c r="F13" s="11"/>
      <c r="G13" s="11">
        <f t="shared" si="0"/>
        <v>2330</v>
      </c>
      <c r="H13" s="17">
        <f t="shared" si="1"/>
        <v>1.07</v>
      </c>
      <c r="I13" s="16">
        <f t="shared" si="2"/>
        <v>3.0000000000000001E-3</v>
      </c>
      <c r="J13" s="16">
        <f>ROUND(G13/2495-1,2)</f>
        <v>-7.0000000000000007E-2</v>
      </c>
    </row>
    <row r="14" spans="1:10" x14ac:dyDescent="0.25">
      <c r="A14" s="1" t="s">
        <v>16</v>
      </c>
      <c r="B14" s="1" t="s">
        <v>26</v>
      </c>
      <c r="C14" s="11"/>
      <c r="D14" s="11">
        <v>218760</v>
      </c>
      <c r="E14" s="11"/>
      <c r="F14" s="11"/>
      <c r="G14" s="11">
        <f t="shared" si="0"/>
        <v>218760</v>
      </c>
      <c r="H14" s="17">
        <f t="shared" si="1"/>
        <v>100.49</v>
      </c>
      <c r="I14" s="16">
        <f t="shared" si="2"/>
        <v>0.27800000000000002</v>
      </c>
      <c r="J14" s="16">
        <f>ROUND(G14/206620-1,2)</f>
        <v>0.06</v>
      </c>
    </row>
    <row r="15" spans="1:10" x14ac:dyDescent="0.25">
      <c r="A15" s="1" t="s">
        <v>16</v>
      </c>
      <c r="B15" s="1" t="s">
        <v>29</v>
      </c>
      <c r="C15" s="11"/>
      <c r="D15" s="11"/>
      <c r="E15" s="11">
        <v>71</v>
      </c>
      <c r="F15" s="11"/>
      <c r="G15" s="11">
        <f t="shared" si="0"/>
        <v>71</v>
      </c>
      <c r="H15" s="17">
        <f t="shared" si="1"/>
        <v>0.03</v>
      </c>
      <c r="I15" s="16">
        <f t="shared" si="2"/>
        <v>0</v>
      </c>
      <c r="J15" s="16"/>
    </row>
    <row r="16" spans="1:10" x14ac:dyDescent="0.25">
      <c r="A16" s="1" t="s">
        <v>16</v>
      </c>
      <c r="B16" s="1" t="s">
        <v>30</v>
      </c>
      <c r="C16" s="11"/>
      <c r="D16" s="11"/>
      <c r="E16" s="11">
        <v>1990</v>
      </c>
      <c r="F16" s="11"/>
      <c r="G16" s="11">
        <f t="shared" si="0"/>
        <v>1990</v>
      </c>
      <c r="H16" s="17">
        <f t="shared" si="1"/>
        <v>0.91</v>
      </c>
      <c r="I16" s="16">
        <f t="shared" si="2"/>
        <v>3.0000000000000001E-3</v>
      </c>
      <c r="J16" s="16">
        <f>ROUND(G16/1270-1,2)</f>
        <v>0.56999999999999995</v>
      </c>
    </row>
    <row r="17" spans="1:10" x14ac:dyDescent="0.25">
      <c r="A17" s="1" t="s">
        <v>16</v>
      </c>
      <c r="B17" s="1" t="s">
        <v>34</v>
      </c>
      <c r="C17" s="11"/>
      <c r="D17" s="11">
        <v>69</v>
      </c>
      <c r="E17" s="11">
        <v>98</v>
      </c>
      <c r="F17" s="11"/>
      <c r="G17" s="11">
        <f t="shared" si="0"/>
        <v>167</v>
      </c>
      <c r="H17" s="17">
        <f t="shared" si="1"/>
        <v>0.08</v>
      </c>
      <c r="I17" s="16">
        <f t="shared" si="2"/>
        <v>0</v>
      </c>
      <c r="J17" s="16">
        <f>ROUND(G17/165-1,2)</f>
        <v>0.01</v>
      </c>
    </row>
    <row r="18" spans="1:10" x14ac:dyDescent="0.25">
      <c r="A18" s="1" t="s">
        <v>16</v>
      </c>
      <c r="B18" s="1" t="s">
        <v>36</v>
      </c>
      <c r="C18" s="11"/>
      <c r="D18" s="11"/>
      <c r="E18" s="11">
        <v>523</v>
      </c>
      <c r="F18" s="11"/>
      <c r="G18" s="11">
        <f t="shared" si="0"/>
        <v>523</v>
      </c>
      <c r="H18" s="17">
        <f t="shared" si="1"/>
        <v>0.24</v>
      </c>
      <c r="I18" s="16">
        <f t="shared" si="2"/>
        <v>1E-3</v>
      </c>
      <c r="J18" s="16">
        <f>ROUND(G18/50-1,2)</f>
        <v>9.4600000000000009</v>
      </c>
    </row>
    <row r="19" spans="1:10" x14ac:dyDescent="0.25">
      <c r="A19" s="1" t="s">
        <v>16</v>
      </c>
      <c r="B19" s="1" t="s">
        <v>37</v>
      </c>
      <c r="C19" s="11"/>
      <c r="D19" s="11"/>
      <c r="E19" s="11">
        <v>1000</v>
      </c>
      <c r="F19" s="11"/>
      <c r="G19" s="11">
        <f t="shared" si="0"/>
        <v>1000</v>
      </c>
      <c r="H19" s="17">
        <f t="shared" si="1"/>
        <v>0.46</v>
      </c>
      <c r="I19" s="16">
        <f t="shared" si="2"/>
        <v>1E-3</v>
      </c>
      <c r="J19" s="16">
        <f>ROUND(G19/1790-1,2)</f>
        <v>-0.44</v>
      </c>
    </row>
    <row r="20" spans="1:10" x14ac:dyDescent="0.25">
      <c r="A20" s="1" t="s">
        <v>16</v>
      </c>
      <c r="B20" s="1" t="s">
        <v>39</v>
      </c>
      <c r="C20" s="11"/>
      <c r="D20" s="11"/>
      <c r="E20" s="11">
        <v>3060</v>
      </c>
      <c r="F20" s="11"/>
      <c r="G20" s="11">
        <f t="shared" si="0"/>
        <v>3060</v>
      </c>
      <c r="H20" s="17">
        <f t="shared" si="1"/>
        <v>1.41</v>
      </c>
      <c r="I20" s="16">
        <f t="shared" si="2"/>
        <v>4.0000000000000001E-3</v>
      </c>
      <c r="J20" s="16">
        <f>ROUND(G20/3790-1,2)</f>
        <v>-0.19</v>
      </c>
    </row>
    <row r="21" spans="1:10" x14ac:dyDescent="0.25">
      <c r="A21" s="1" t="s">
        <v>16</v>
      </c>
      <c r="B21" s="1" t="s">
        <v>38</v>
      </c>
      <c r="C21" s="11"/>
      <c r="D21" s="11"/>
      <c r="E21" s="11">
        <v>490</v>
      </c>
      <c r="F21" s="11"/>
      <c r="G21" s="11">
        <f t="shared" si="0"/>
        <v>490</v>
      </c>
      <c r="H21" s="17">
        <f t="shared" si="1"/>
        <v>0.23</v>
      </c>
      <c r="I21" s="16">
        <f t="shared" si="2"/>
        <v>1E-3</v>
      </c>
      <c r="J21" s="16">
        <f>ROUND(G21/1260-1,2)</f>
        <v>-0.61</v>
      </c>
    </row>
    <row r="22" spans="1:10" x14ac:dyDescent="0.25">
      <c r="A22" s="1" t="s">
        <v>16</v>
      </c>
      <c r="B22" s="1" t="s">
        <v>40</v>
      </c>
      <c r="C22" s="11"/>
      <c r="D22" s="11"/>
      <c r="E22" s="11">
        <v>22910</v>
      </c>
      <c r="F22" s="11"/>
      <c r="G22" s="11">
        <f t="shared" si="0"/>
        <v>22910</v>
      </c>
      <c r="H22" s="17">
        <f t="shared" si="1"/>
        <v>10.52</v>
      </c>
      <c r="I22" s="16">
        <f t="shared" si="2"/>
        <v>2.9000000000000001E-2</v>
      </c>
      <c r="J22" s="16">
        <f>ROUND(G22/38150-1,2)</f>
        <v>-0.4</v>
      </c>
    </row>
    <row r="23" spans="1:10" x14ac:dyDescent="0.25">
      <c r="A23" s="1" t="s">
        <v>16</v>
      </c>
      <c r="B23" s="1" t="s">
        <v>42</v>
      </c>
      <c r="C23" s="11"/>
      <c r="D23" s="11"/>
      <c r="E23" s="11">
        <v>9220</v>
      </c>
      <c r="F23" s="11"/>
      <c r="G23" s="11">
        <f t="shared" si="0"/>
        <v>9220</v>
      </c>
      <c r="H23" s="17">
        <f t="shared" si="1"/>
        <v>4.24</v>
      </c>
      <c r="I23" s="16">
        <f t="shared" si="2"/>
        <v>1.2E-2</v>
      </c>
      <c r="J23" s="16">
        <f>ROUND(G23/5400-1,2)</f>
        <v>0.71</v>
      </c>
    </row>
    <row r="24" spans="1:10" x14ac:dyDescent="0.25">
      <c r="A24" s="1" t="s">
        <v>16</v>
      </c>
      <c r="B24" s="1" t="s">
        <v>44</v>
      </c>
      <c r="C24" s="11"/>
      <c r="D24" s="11"/>
      <c r="E24" s="11">
        <v>12480</v>
      </c>
      <c r="F24" s="11"/>
      <c r="G24" s="11">
        <f t="shared" si="0"/>
        <v>12480</v>
      </c>
      <c r="H24" s="17">
        <f t="shared" si="1"/>
        <v>5.73</v>
      </c>
      <c r="I24" s="16">
        <f t="shared" si="2"/>
        <v>1.6E-2</v>
      </c>
      <c r="J24" s="16">
        <f>ROUND(G24/32520-1,2)</f>
        <v>-0.62</v>
      </c>
    </row>
    <row r="25" spans="1:10" x14ac:dyDescent="0.25">
      <c r="A25" s="1" t="s">
        <v>16</v>
      </c>
      <c r="B25" s="1" t="s">
        <v>17</v>
      </c>
      <c r="C25" s="11"/>
      <c r="D25" s="11"/>
      <c r="E25" s="11"/>
      <c r="F25" s="11"/>
      <c r="G25" s="11">
        <f t="shared" si="0"/>
        <v>0</v>
      </c>
      <c r="H25" s="17">
        <f t="shared" si="1"/>
        <v>0</v>
      </c>
      <c r="I25" s="16">
        <f t="shared" si="2"/>
        <v>0</v>
      </c>
      <c r="J25" s="16">
        <f>ROUND(G25/61-1,2)</f>
        <v>-1</v>
      </c>
    </row>
    <row r="26" spans="1:10" x14ac:dyDescent="0.25">
      <c r="A26" s="1" t="s">
        <v>16</v>
      </c>
      <c r="B26" s="1" t="s">
        <v>22</v>
      </c>
      <c r="C26" s="11"/>
      <c r="D26" s="11"/>
      <c r="E26" s="11"/>
      <c r="F26" s="11"/>
      <c r="G26" s="11">
        <f t="shared" si="0"/>
        <v>0</v>
      </c>
      <c r="H26" s="17">
        <f t="shared" si="1"/>
        <v>0</v>
      </c>
      <c r="I26" s="16">
        <f t="shared" si="2"/>
        <v>0</v>
      </c>
      <c r="J26" s="16"/>
    </row>
    <row r="27" spans="1:10" x14ac:dyDescent="0.25">
      <c r="A27" s="1" t="s">
        <v>16</v>
      </c>
      <c r="B27" s="1" t="s">
        <v>96</v>
      </c>
      <c r="C27" s="11"/>
      <c r="D27" s="11"/>
      <c r="E27" s="11"/>
      <c r="F27" s="11"/>
      <c r="G27" s="11">
        <f t="shared" si="0"/>
        <v>0</v>
      </c>
      <c r="H27" s="17">
        <f t="shared" si="1"/>
        <v>0</v>
      </c>
      <c r="I27" s="16">
        <f t="shared" si="2"/>
        <v>0</v>
      </c>
      <c r="J27" s="16"/>
    </row>
    <row r="28" spans="1:10" x14ac:dyDescent="0.25">
      <c r="A28" s="1" t="s">
        <v>16</v>
      </c>
      <c r="B28" s="1" t="s">
        <v>31</v>
      </c>
      <c r="C28" s="11"/>
      <c r="D28" s="11"/>
      <c r="E28" s="11"/>
      <c r="F28" s="11"/>
      <c r="G28" s="11">
        <f t="shared" si="0"/>
        <v>0</v>
      </c>
      <c r="H28" s="17">
        <f t="shared" si="1"/>
        <v>0</v>
      </c>
      <c r="I28" s="16">
        <f t="shared" si="2"/>
        <v>0</v>
      </c>
      <c r="J28" s="16"/>
    </row>
    <row r="29" spans="1:10" x14ac:dyDescent="0.25">
      <c r="A29" s="1" t="s">
        <v>16</v>
      </c>
      <c r="B29" s="1" t="s">
        <v>35</v>
      </c>
      <c r="C29" s="11"/>
      <c r="D29" s="11"/>
      <c r="E29" s="11"/>
      <c r="F29" s="11"/>
      <c r="G29" s="11">
        <f t="shared" si="0"/>
        <v>0</v>
      </c>
      <c r="H29" s="17">
        <f t="shared" si="1"/>
        <v>0</v>
      </c>
      <c r="I29" s="16">
        <f t="shared" si="2"/>
        <v>0</v>
      </c>
      <c r="J29" s="16">
        <f>ROUND(G29/420-1,2)</f>
        <v>-1</v>
      </c>
    </row>
    <row r="30" spans="1:10" x14ac:dyDescent="0.25">
      <c r="A30" s="1" t="s">
        <v>45</v>
      </c>
      <c r="B30" s="1" t="s">
        <v>46</v>
      </c>
      <c r="C30" s="11">
        <v>183140</v>
      </c>
      <c r="D30" s="11"/>
      <c r="E30" s="11"/>
      <c r="F30" s="11"/>
      <c r="G30" s="11">
        <f t="shared" si="0"/>
        <v>183140</v>
      </c>
      <c r="H30" s="17">
        <f t="shared" si="1"/>
        <v>84.12</v>
      </c>
      <c r="I30" s="16">
        <f t="shared" si="2"/>
        <v>0.23300000000000001</v>
      </c>
      <c r="J30" s="16">
        <f>ROUND(G30/150590-1,2)</f>
        <v>0.22</v>
      </c>
    </row>
    <row r="31" spans="1:10" x14ac:dyDescent="0.25">
      <c r="A31" s="1" t="s">
        <v>45</v>
      </c>
      <c r="B31" s="1" t="s">
        <v>47</v>
      </c>
      <c r="C31" s="11"/>
      <c r="D31" s="11"/>
      <c r="E31" s="11">
        <v>18490</v>
      </c>
      <c r="F31" s="11"/>
      <c r="G31" s="11">
        <f t="shared" si="0"/>
        <v>18490</v>
      </c>
      <c r="H31" s="17">
        <f t="shared" si="1"/>
        <v>8.49</v>
      </c>
      <c r="I31" s="16">
        <f t="shared" si="2"/>
        <v>2.4E-2</v>
      </c>
      <c r="J31" s="16">
        <f>ROUND(G31/36870-1,2)</f>
        <v>-0.5</v>
      </c>
    </row>
    <row r="32" spans="1:10" x14ac:dyDescent="0.25">
      <c r="A32" s="1" t="s">
        <v>49</v>
      </c>
      <c r="B32" s="1" t="s">
        <v>50</v>
      </c>
      <c r="C32" s="11"/>
      <c r="D32" s="11"/>
      <c r="E32" s="11"/>
      <c r="F32" s="11"/>
      <c r="G32" s="11">
        <f t="shared" si="0"/>
        <v>0</v>
      </c>
      <c r="H32" s="17">
        <f t="shared" si="1"/>
        <v>0</v>
      </c>
      <c r="I32" s="16">
        <f t="shared" si="2"/>
        <v>0</v>
      </c>
      <c r="J32" s="16"/>
    </row>
    <row r="33" spans="1:10" x14ac:dyDescent="0.25">
      <c r="A33" s="1" t="s">
        <v>49</v>
      </c>
      <c r="B33" s="1" t="s">
        <v>51</v>
      </c>
      <c r="C33" s="11"/>
      <c r="D33" s="11"/>
      <c r="E33" s="11"/>
      <c r="F33" s="11"/>
      <c r="G33" s="11">
        <f t="shared" si="0"/>
        <v>0</v>
      </c>
      <c r="H33" s="17">
        <f t="shared" si="1"/>
        <v>0</v>
      </c>
      <c r="I33" s="16">
        <f t="shared" si="2"/>
        <v>0</v>
      </c>
      <c r="J33" s="16"/>
    </row>
    <row r="34" spans="1:10" x14ac:dyDescent="0.25">
      <c r="A34" s="26" t="s">
        <v>12</v>
      </c>
      <c r="B34" s="26"/>
      <c r="C34" s="12">
        <f t="shared" ref="C34:H34" si="3">SUM(C8:C33)</f>
        <v>205440</v>
      </c>
      <c r="D34" s="12">
        <f t="shared" si="3"/>
        <v>508259</v>
      </c>
      <c r="E34" s="12">
        <f t="shared" si="3"/>
        <v>73092</v>
      </c>
      <c r="F34" s="12">
        <f t="shared" si="3"/>
        <v>0</v>
      </c>
      <c r="G34" s="12">
        <f t="shared" si="3"/>
        <v>786791</v>
      </c>
      <c r="H34" s="15">
        <f t="shared" si="3"/>
        <v>361.40000000000003</v>
      </c>
      <c r="I34" s="18"/>
      <c r="J34" s="18"/>
    </row>
    <row r="35" spans="1:10" x14ac:dyDescent="0.25">
      <c r="A35" s="26" t="s">
        <v>14</v>
      </c>
      <c r="B35" s="26"/>
      <c r="C35" s="13">
        <f>ROUND(C34/G34,2)</f>
        <v>0.26</v>
      </c>
      <c r="D35" s="13">
        <f>ROUND(D34/G34,2)</f>
        <v>0.65</v>
      </c>
      <c r="E35" s="13">
        <f>ROUND(E34/G34,2)</f>
        <v>0.09</v>
      </c>
      <c r="F35" s="13">
        <f>ROUND(F34/G34,2)</f>
        <v>0</v>
      </c>
      <c r="G35" s="14"/>
      <c r="H35" s="14"/>
      <c r="I35" s="18"/>
      <c r="J35" s="18"/>
    </row>
    <row r="36" spans="1:10" x14ac:dyDescent="0.25">
      <c r="A36" s="2" t="s">
        <v>53</v>
      </c>
      <c r="B36" s="2"/>
      <c r="C36" s="14"/>
      <c r="D36" s="14"/>
      <c r="E36" s="14"/>
      <c r="F36" s="14"/>
      <c r="G36" s="14"/>
      <c r="H36" s="14"/>
      <c r="I36" s="18"/>
      <c r="J36" s="18"/>
    </row>
    <row r="37" spans="1:10" x14ac:dyDescent="0.25">
      <c r="C37" s="9"/>
      <c r="D37" s="9"/>
      <c r="E37" s="9"/>
      <c r="F37" s="9"/>
      <c r="G37" s="9"/>
      <c r="H37" s="9"/>
      <c r="I37" s="10"/>
      <c r="J37" s="10"/>
    </row>
    <row r="38" spans="1:10" x14ac:dyDescent="0.25">
      <c r="C38" s="9"/>
      <c r="D38" s="9"/>
      <c r="E38" s="9"/>
      <c r="F38" s="9"/>
      <c r="G38" s="9"/>
      <c r="H38" s="9"/>
      <c r="I38" s="10"/>
      <c r="J38" s="10"/>
    </row>
    <row r="39" spans="1:10" x14ac:dyDescent="0.25">
      <c r="C39" s="9"/>
      <c r="D39" s="9"/>
      <c r="E39" s="9"/>
      <c r="F39" s="9"/>
      <c r="G39" s="9"/>
      <c r="H39" s="9"/>
      <c r="I39" s="10"/>
      <c r="J39" s="10"/>
    </row>
    <row r="40" spans="1:10" x14ac:dyDescent="0.25">
      <c r="A40" s="26" t="s">
        <v>54</v>
      </c>
      <c r="B40" s="26"/>
      <c r="C40" s="12" t="s">
        <v>8</v>
      </c>
      <c r="D40" s="12" t="s">
        <v>9</v>
      </c>
      <c r="E40" s="12" t="s">
        <v>10</v>
      </c>
      <c r="F40" s="12" t="s">
        <v>11</v>
      </c>
      <c r="G40" s="12" t="s">
        <v>12</v>
      </c>
      <c r="H40" s="15" t="s">
        <v>13</v>
      </c>
      <c r="I40" s="18"/>
      <c r="J40" s="18"/>
    </row>
    <row r="41" spans="1:10" x14ac:dyDescent="0.25">
      <c r="A41" s="21" t="s">
        <v>55</v>
      </c>
      <c r="B41" s="21"/>
      <c r="C41" s="11">
        <v>22300</v>
      </c>
      <c r="D41" s="11">
        <v>508259</v>
      </c>
      <c r="E41" s="11">
        <v>54602</v>
      </c>
      <c r="F41" s="11">
        <v>0</v>
      </c>
      <c r="G41" s="11">
        <f>SUM(C41:F41)</f>
        <v>585161</v>
      </c>
      <c r="H41" s="17">
        <f>ROUND(G41/2177,2)</f>
        <v>268.79000000000002</v>
      </c>
      <c r="I41" s="10"/>
      <c r="J41" s="10"/>
    </row>
    <row r="42" spans="1:10" x14ac:dyDescent="0.25">
      <c r="A42" s="21" t="s">
        <v>56</v>
      </c>
      <c r="B42" s="21"/>
      <c r="C42" s="11">
        <v>183140</v>
      </c>
      <c r="D42" s="11">
        <v>0</v>
      </c>
      <c r="E42" s="11">
        <v>18490</v>
      </c>
      <c r="F42" s="11">
        <v>0</v>
      </c>
      <c r="G42" s="11">
        <f>SUM(C42:F42)</f>
        <v>201630</v>
      </c>
      <c r="H42" s="17">
        <f>ROUND(G42/2177,2)</f>
        <v>92.62</v>
      </c>
      <c r="I42" s="10"/>
      <c r="J42" s="10"/>
    </row>
    <row r="43" spans="1:10" x14ac:dyDescent="0.25">
      <c r="A43" s="21" t="s">
        <v>57</v>
      </c>
      <c r="B43" s="21"/>
      <c r="C43" s="11">
        <v>0</v>
      </c>
      <c r="D43" s="11">
        <v>0</v>
      </c>
      <c r="E43" s="11">
        <v>0</v>
      </c>
      <c r="F43" s="11">
        <v>0</v>
      </c>
      <c r="G43" s="11">
        <f>SUM(C43:F43)</f>
        <v>0</v>
      </c>
      <c r="H43" s="17">
        <f>ROUND(G43/2177,2)</f>
        <v>0</v>
      </c>
      <c r="I43" s="10"/>
      <c r="J43" s="10"/>
    </row>
    <row r="44" spans="1:10" x14ac:dyDescent="0.25">
      <c r="C44" s="9"/>
      <c r="D44" s="9"/>
      <c r="E44" s="9"/>
      <c r="F44" s="9"/>
      <c r="G44" s="9"/>
      <c r="H44" s="9"/>
      <c r="I44" s="10"/>
      <c r="J44" s="10"/>
    </row>
    <row r="45" spans="1:10" x14ac:dyDescent="0.25">
      <c r="C45" s="9"/>
      <c r="D45" s="9"/>
      <c r="E45" s="9"/>
      <c r="F45" s="9"/>
      <c r="G45" s="9"/>
      <c r="H45" s="9"/>
      <c r="I45" s="10"/>
      <c r="J45" s="10"/>
    </row>
    <row r="46" spans="1:10" x14ac:dyDescent="0.25">
      <c r="C46" s="9"/>
      <c r="D46" s="9"/>
      <c r="E46" s="9"/>
      <c r="F46" s="9"/>
      <c r="G46" s="9"/>
      <c r="H46" s="9"/>
      <c r="I46" s="10"/>
      <c r="J46" s="10"/>
    </row>
    <row r="47" spans="1:10" x14ac:dyDescent="0.25">
      <c r="C47" s="9"/>
      <c r="D47" s="9"/>
      <c r="E47" s="9"/>
      <c r="F47" s="9"/>
      <c r="G47" s="9"/>
      <c r="H47" s="9"/>
      <c r="I47" s="10"/>
      <c r="J47" s="10"/>
    </row>
    <row r="48" spans="1:10" x14ac:dyDescent="0.25">
      <c r="A48" s="26" t="s">
        <v>58</v>
      </c>
      <c r="B48" s="26"/>
      <c r="C48" s="15" t="s">
        <v>2</v>
      </c>
      <c r="D48" s="15">
        <v>2024</v>
      </c>
      <c r="E48" s="15" t="s">
        <v>60</v>
      </c>
      <c r="F48" s="14"/>
      <c r="G48" s="15" t="s">
        <v>61</v>
      </c>
      <c r="H48" s="15" t="s">
        <v>2</v>
      </c>
      <c r="I48" s="13" t="s">
        <v>62</v>
      </c>
      <c r="J48" s="13" t="s">
        <v>60</v>
      </c>
    </row>
    <row r="49" spans="1:10" x14ac:dyDescent="0.25">
      <c r="A49" s="21" t="s">
        <v>59</v>
      </c>
      <c r="B49" s="21"/>
      <c r="C49" s="16">
        <f>ROUND(0.7672, 4)</f>
        <v>0.76719999999999999</v>
      </c>
      <c r="D49" s="16">
        <f>ROUND(0.8111, 4)</f>
        <v>0.81110000000000004</v>
      </c>
      <c r="E49" s="16">
        <f>ROUND(0.7856, 4)</f>
        <v>0.78559999999999997</v>
      </c>
      <c r="F49" s="9"/>
      <c r="G49" s="15" t="s">
        <v>63</v>
      </c>
      <c r="H49" s="27" t="s">
        <v>64</v>
      </c>
      <c r="I49" s="24" t="s">
        <v>65</v>
      </c>
      <c r="J49" s="24" t="s">
        <v>66</v>
      </c>
    </row>
    <row r="50" spans="1:10" x14ac:dyDescent="0.25">
      <c r="A50" s="21" t="s">
        <v>67</v>
      </c>
      <c r="B50" s="21"/>
      <c r="C50" s="16">
        <f>ROUND(0.7672, 4)</f>
        <v>0.76719999999999999</v>
      </c>
      <c r="D50" s="16">
        <f>ROUND(0.7468, 4)</f>
        <v>0.74680000000000002</v>
      </c>
      <c r="E50" s="16">
        <f>ROUND(0.7702, 4)</f>
        <v>0.7702</v>
      </c>
      <c r="F50" s="9"/>
      <c r="G50" s="15" t="s">
        <v>68</v>
      </c>
      <c r="H50" s="28"/>
      <c r="I50" s="25"/>
      <c r="J50" s="25"/>
    </row>
    <row r="51" spans="1:10" x14ac:dyDescent="0.25">
      <c r="C51" s="9"/>
      <c r="D51" s="9"/>
      <c r="E51" s="9"/>
      <c r="F51" s="9"/>
      <c r="G51" s="9"/>
      <c r="H51" s="9"/>
      <c r="I51" s="10"/>
      <c r="J51" s="10"/>
    </row>
    <row r="52" spans="1:10" x14ac:dyDescent="0.25">
      <c r="C52" s="9"/>
      <c r="D52" s="9"/>
      <c r="E52" s="9"/>
      <c r="F52" s="9"/>
      <c r="G52" s="9"/>
      <c r="H52" s="9"/>
      <c r="I52" s="10"/>
      <c r="J52" s="10"/>
    </row>
    <row r="53" spans="1:10" x14ac:dyDescent="0.25">
      <c r="C53" s="9"/>
      <c r="D53" s="9"/>
      <c r="E53" s="9"/>
      <c r="F53" s="9"/>
      <c r="G53" s="9"/>
      <c r="H53" s="9"/>
      <c r="I53" s="10"/>
      <c r="J53" s="10"/>
    </row>
    <row r="54" spans="1:10" x14ac:dyDescent="0.25">
      <c r="A54" s="26" t="s">
        <v>69</v>
      </c>
      <c r="B54" s="26"/>
      <c r="C54" s="15" t="s">
        <v>2</v>
      </c>
      <c r="D54" s="15" t="s">
        <v>135</v>
      </c>
      <c r="E54" s="15" t="s">
        <v>71</v>
      </c>
      <c r="F54" s="15" t="s">
        <v>72</v>
      </c>
      <c r="G54" s="15" t="s">
        <v>73</v>
      </c>
      <c r="H54" s="14"/>
      <c r="I54" s="18"/>
      <c r="J54" s="18"/>
    </row>
    <row r="55" spans="1:10" x14ac:dyDescent="0.25">
      <c r="A55" s="21" t="s">
        <v>74</v>
      </c>
      <c r="B55" s="21"/>
      <c r="C55" s="17">
        <v>84.12</v>
      </c>
      <c r="D55" s="17">
        <v>68.8</v>
      </c>
      <c r="E55" s="17">
        <v>96.15</v>
      </c>
      <c r="F55" s="17">
        <v>57.94</v>
      </c>
      <c r="G55" s="17">
        <f>12/12*C55</f>
        <v>84.12</v>
      </c>
      <c r="H55" s="9"/>
      <c r="I55" s="10"/>
      <c r="J55" s="10"/>
    </row>
    <row r="56" spans="1:10" x14ac:dyDescent="0.25">
      <c r="A56" s="21" t="s">
        <v>75</v>
      </c>
      <c r="B56" s="21"/>
      <c r="C56" s="17">
        <v>100.49</v>
      </c>
      <c r="D56" s="17">
        <v>77.58</v>
      </c>
      <c r="E56" s="17">
        <v>62.28</v>
      </c>
      <c r="F56" s="17">
        <v>66.599999999999994</v>
      </c>
      <c r="G56" s="17">
        <f>12/12*C56</f>
        <v>100.49</v>
      </c>
      <c r="H56" s="9"/>
      <c r="I56" s="10"/>
      <c r="J56" s="10"/>
    </row>
    <row r="57" spans="1:10" x14ac:dyDescent="0.25">
      <c r="A57" s="21" t="s">
        <v>76</v>
      </c>
      <c r="B57" s="21"/>
      <c r="C57" s="17">
        <v>268.79000000000002</v>
      </c>
      <c r="D57" s="17">
        <v>252.72</v>
      </c>
      <c r="E57" s="17">
        <v>300.02</v>
      </c>
      <c r="F57" s="17">
        <v>295.08</v>
      </c>
      <c r="G57" s="17">
        <f>12/12*C57</f>
        <v>268.79000000000002</v>
      </c>
      <c r="H57" s="9"/>
      <c r="I57" s="10"/>
      <c r="J57" s="10"/>
    </row>
    <row r="58" spans="1:10" x14ac:dyDescent="0.25">
      <c r="A58" s="21" t="s">
        <v>77</v>
      </c>
      <c r="B58" s="21"/>
      <c r="C58" s="17">
        <v>92.62</v>
      </c>
      <c r="D58" s="17">
        <v>78.38</v>
      </c>
      <c r="E58" s="17">
        <v>120.96</v>
      </c>
      <c r="F58" s="17">
        <v>83.12</v>
      </c>
      <c r="G58" s="17">
        <f>12/12*C58</f>
        <v>92.62</v>
      </c>
      <c r="H58" s="9"/>
      <c r="I58" s="10"/>
      <c r="J58" s="10"/>
    </row>
    <row r="59" spans="1:10" x14ac:dyDescent="0.25">
      <c r="C59" s="9"/>
      <c r="D59" s="9"/>
      <c r="E59" s="9"/>
      <c r="F59" s="9"/>
      <c r="G59" s="9"/>
      <c r="H59" s="9"/>
      <c r="I59" s="10"/>
      <c r="J59" s="10"/>
    </row>
    <row r="60" spans="1:10" x14ac:dyDescent="0.25">
      <c r="C60" s="9"/>
      <c r="D60" s="9"/>
      <c r="E60" s="9"/>
      <c r="F60" s="9"/>
      <c r="G60" s="9"/>
      <c r="H60" s="9"/>
      <c r="I60" s="10"/>
      <c r="J60" s="10"/>
    </row>
    <row r="61" spans="1:10" x14ac:dyDescent="0.25">
      <c r="A61" s="22" t="s">
        <v>61</v>
      </c>
      <c r="B61" s="23"/>
      <c r="C61" s="9"/>
      <c r="D61" s="9"/>
      <c r="E61" s="9"/>
      <c r="F61" s="9"/>
      <c r="G61" s="9"/>
      <c r="H61" s="9"/>
      <c r="I61" s="10"/>
      <c r="J61" s="10"/>
    </row>
    <row r="62" spans="1:10" x14ac:dyDescent="0.25">
      <c r="A62" s="3" t="s">
        <v>78</v>
      </c>
      <c r="B62" s="1" t="s">
        <v>136</v>
      </c>
      <c r="C62" s="9"/>
      <c r="D62" s="9"/>
      <c r="E62" s="9"/>
      <c r="F62" s="9"/>
      <c r="G62" s="9"/>
      <c r="H62" s="9"/>
      <c r="I62" s="10"/>
      <c r="J62" s="10"/>
    </row>
    <row r="63" spans="1:10" x14ac:dyDescent="0.25">
      <c r="A63" s="3" t="s">
        <v>71</v>
      </c>
      <c r="B63" s="1" t="s">
        <v>80</v>
      </c>
      <c r="C63" s="9"/>
      <c r="D63" s="9"/>
      <c r="E63" s="9"/>
      <c r="F63" s="9"/>
      <c r="G63" s="9"/>
      <c r="H63" s="9"/>
      <c r="I63" s="10"/>
      <c r="J63" s="10"/>
    </row>
    <row r="64" spans="1:10" x14ac:dyDescent="0.25">
      <c r="A64" s="3" t="s">
        <v>72</v>
      </c>
      <c r="B64" s="1" t="s">
        <v>81</v>
      </c>
      <c r="C64" s="9"/>
      <c r="D64" s="9"/>
      <c r="E64" s="9"/>
      <c r="F64" s="9"/>
      <c r="G64" s="9"/>
      <c r="H64" s="9"/>
      <c r="I64" s="10"/>
      <c r="J64" s="10"/>
    </row>
    <row r="65" spans="1:10" x14ac:dyDescent="0.25">
      <c r="A65" s="3" t="s">
        <v>73</v>
      </c>
      <c r="B65" s="1" t="s">
        <v>82</v>
      </c>
      <c r="C65" s="9"/>
      <c r="D65" s="9"/>
      <c r="E65" s="9"/>
      <c r="F65" s="9"/>
      <c r="G65" s="9"/>
      <c r="H65" s="9"/>
      <c r="I65" s="10"/>
      <c r="J65" s="10"/>
    </row>
    <row r="66" spans="1:10" x14ac:dyDescent="0.25">
      <c r="C66" s="9"/>
      <c r="D66" s="9"/>
      <c r="E66" s="9"/>
      <c r="F66" s="9"/>
      <c r="G66" s="9"/>
      <c r="H66" s="9"/>
      <c r="I66" s="10"/>
      <c r="J66" s="10"/>
    </row>
    <row r="67" spans="1:10" x14ac:dyDescent="0.25">
      <c r="C67" s="9"/>
      <c r="D67" s="9"/>
      <c r="E67" s="9"/>
      <c r="F67" s="9"/>
      <c r="G67" s="9"/>
      <c r="H67" s="9"/>
      <c r="I67" s="10"/>
      <c r="J67" s="10"/>
    </row>
    <row r="68" spans="1:10" x14ac:dyDescent="0.25">
      <c r="C68" s="9"/>
      <c r="D68" s="9"/>
      <c r="E68" s="9"/>
      <c r="F68" s="9"/>
      <c r="G68" s="9"/>
      <c r="H68" s="9"/>
      <c r="I68" s="10"/>
      <c r="J68" s="10"/>
    </row>
    <row r="69" spans="1:10" x14ac:dyDescent="0.25">
      <c r="C69" s="9"/>
      <c r="D69" s="9"/>
      <c r="E69" s="9"/>
      <c r="F69" s="9"/>
      <c r="G69" s="9"/>
      <c r="H69" s="9"/>
      <c r="I69" s="10"/>
      <c r="J69" s="10"/>
    </row>
    <row r="70" spans="1:10" x14ac:dyDescent="0.25">
      <c r="C70" s="9"/>
      <c r="D70" s="9"/>
      <c r="E70" s="9"/>
      <c r="F70" s="9"/>
      <c r="G70" s="9"/>
      <c r="H70" s="9"/>
      <c r="I70" s="10"/>
      <c r="J70" s="10"/>
    </row>
  </sheetData>
  <mergeCells count="19">
    <mergeCell ref="C7:G7"/>
    <mergeCell ref="A34:B34"/>
    <mergeCell ref="A35:B35"/>
    <mergeCell ref="A40:B40"/>
    <mergeCell ref="A41:B41"/>
    <mergeCell ref="J49:J50"/>
    <mergeCell ref="A50:B50"/>
    <mergeCell ref="A54:B54"/>
    <mergeCell ref="A55:B55"/>
    <mergeCell ref="A42:B42"/>
    <mergeCell ref="A43:B43"/>
    <mergeCell ref="A48:B48"/>
    <mergeCell ref="A49:B49"/>
    <mergeCell ref="H49:H50"/>
    <mergeCell ref="A56:B56"/>
    <mergeCell ref="A57:B57"/>
    <mergeCell ref="A58:B58"/>
    <mergeCell ref="A61:B61"/>
    <mergeCell ref="I49:I5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J71"/>
  <sheetViews>
    <sheetView workbookViewId="0">
      <selection activeCell="H5" sqref="H5"/>
    </sheetView>
  </sheetViews>
  <sheetFormatPr defaultRowHeight="15" x14ac:dyDescent="0.25"/>
  <cols>
    <col min="1" max="1" width="28.42578125" bestFit="1" customWidth="1"/>
    <col min="2" max="2" width="59.5703125" bestFit="1" customWidth="1"/>
    <col min="3" max="3" width="12.7109375" bestFit="1" customWidth="1"/>
    <col min="4" max="4" width="26.5703125" bestFit="1" customWidth="1"/>
    <col min="5" max="5" width="13.85546875" bestFit="1" customWidth="1"/>
    <col min="6" max="6" width="8.5703125" bestFit="1" customWidth="1"/>
    <col min="7" max="7" width="47.7109375" bestFit="1" customWidth="1"/>
    <col min="8" max="9" width="16.7109375" bestFit="1" customWidth="1"/>
    <col min="10" max="10" width="24.42578125" bestFit="1" customWidth="1"/>
  </cols>
  <sheetData>
    <row r="2" spans="1:10" ht="18.75" x14ac:dyDescent="0.3">
      <c r="A2" s="3" t="s">
        <v>0</v>
      </c>
      <c r="B2" s="4" t="s">
        <v>137</v>
      </c>
    </row>
    <row r="3" spans="1:10" x14ac:dyDescent="0.25">
      <c r="A3" s="3" t="s">
        <v>2</v>
      </c>
      <c r="B3" s="1" t="s">
        <v>3</v>
      </c>
    </row>
    <row r="4" spans="1:10" x14ac:dyDescent="0.25">
      <c r="A4" s="3" t="s">
        <v>4</v>
      </c>
      <c r="B4" s="20">
        <v>426</v>
      </c>
    </row>
    <row r="7" spans="1:10" x14ac:dyDescent="0.25">
      <c r="C7" s="22" t="s">
        <v>5</v>
      </c>
      <c r="D7" s="21"/>
      <c r="E7" s="21"/>
      <c r="F7" s="21"/>
      <c r="G7" s="21"/>
    </row>
    <row r="8" spans="1:10" x14ac:dyDescent="0.25">
      <c r="A8" s="3" t="s">
        <v>6</v>
      </c>
      <c r="B8" s="3" t="s">
        <v>7</v>
      </c>
      <c r="C8" s="15" t="s">
        <v>8</v>
      </c>
      <c r="D8" s="15" t="s">
        <v>9</v>
      </c>
      <c r="E8" s="15" t="s">
        <v>10</v>
      </c>
      <c r="F8" s="15" t="s">
        <v>11</v>
      </c>
      <c r="G8" s="15" t="s">
        <v>12</v>
      </c>
      <c r="H8" s="15" t="s">
        <v>13</v>
      </c>
      <c r="I8" s="15" t="s">
        <v>14</v>
      </c>
      <c r="J8" s="15" t="s">
        <v>15</v>
      </c>
    </row>
    <row r="9" spans="1:10" x14ac:dyDescent="0.25">
      <c r="A9" s="1" t="s">
        <v>16</v>
      </c>
      <c r="B9" s="1" t="s">
        <v>17</v>
      </c>
      <c r="C9" s="11"/>
      <c r="D9" s="11"/>
      <c r="E9" s="11">
        <v>18</v>
      </c>
      <c r="F9" s="11"/>
      <c r="G9" s="11">
        <f t="shared" ref="G9:G38" si="0">SUM(C9:F9)</f>
        <v>18</v>
      </c>
      <c r="H9" s="17">
        <f t="shared" ref="H9:H38" si="1">ROUND(G9/426,2)</f>
        <v>0.04</v>
      </c>
      <c r="I9" s="16">
        <f t="shared" ref="I9:I38" si="2">ROUND(G9/$G$39,3)</f>
        <v>0</v>
      </c>
      <c r="J9" s="16">
        <f>ROUND(G9/9-1,2)</f>
        <v>1</v>
      </c>
    </row>
    <row r="10" spans="1:10" x14ac:dyDescent="0.25">
      <c r="A10" s="1" t="s">
        <v>16</v>
      </c>
      <c r="B10" s="1" t="s">
        <v>19</v>
      </c>
      <c r="C10" s="11">
        <v>16280</v>
      </c>
      <c r="D10" s="11"/>
      <c r="E10" s="11">
        <v>2305</v>
      </c>
      <c r="F10" s="11"/>
      <c r="G10" s="11">
        <f t="shared" si="0"/>
        <v>18585</v>
      </c>
      <c r="H10" s="17">
        <f t="shared" si="1"/>
        <v>43.63</v>
      </c>
      <c r="I10" s="16">
        <f t="shared" si="2"/>
        <v>9.1999999999999998E-2</v>
      </c>
      <c r="J10" s="16">
        <f>ROUND(G10/18956-1,2)</f>
        <v>-0.02</v>
      </c>
    </row>
    <row r="11" spans="1:10" x14ac:dyDescent="0.25">
      <c r="A11" s="1" t="s">
        <v>16</v>
      </c>
      <c r="B11" s="1" t="s">
        <v>20</v>
      </c>
      <c r="C11" s="11">
        <v>27050</v>
      </c>
      <c r="D11" s="11"/>
      <c r="E11" s="11"/>
      <c r="F11" s="11"/>
      <c r="G11" s="11">
        <f t="shared" si="0"/>
        <v>27050</v>
      </c>
      <c r="H11" s="17">
        <f t="shared" si="1"/>
        <v>63.5</v>
      </c>
      <c r="I11" s="16">
        <f t="shared" si="2"/>
        <v>0.13300000000000001</v>
      </c>
      <c r="J11" s="16">
        <f>ROUND(G11/35825-1,2)</f>
        <v>-0.24</v>
      </c>
    </row>
    <row r="12" spans="1:10" x14ac:dyDescent="0.25">
      <c r="A12" s="1" t="s">
        <v>16</v>
      </c>
      <c r="B12" s="1" t="s">
        <v>21</v>
      </c>
      <c r="C12" s="11"/>
      <c r="D12" s="11"/>
      <c r="E12" s="11">
        <v>54</v>
      </c>
      <c r="F12" s="11"/>
      <c r="G12" s="11">
        <f t="shared" si="0"/>
        <v>54</v>
      </c>
      <c r="H12" s="17">
        <f t="shared" si="1"/>
        <v>0.13</v>
      </c>
      <c r="I12" s="16">
        <f t="shared" si="2"/>
        <v>0</v>
      </c>
      <c r="J12" s="16">
        <f>ROUND(G12/46-1,2)</f>
        <v>0.17</v>
      </c>
    </row>
    <row r="13" spans="1:10" x14ac:dyDescent="0.25">
      <c r="A13" s="1" t="s">
        <v>16</v>
      </c>
      <c r="B13" s="1" t="s">
        <v>22</v>
      </c>
      <c r="C13" s="11"/>
      <c r="D13" s="11"/>
      <c r="E13" s="11">
        <v>355</v>
      </c>
      <c r="F13" s="11"/>
      <c r="G13" s="11">
        <f t="shared" si="0"/>
        <v>355</v>
      </c>
      <c r="H13" s="17">
        <f t="shared" si="1"/>
        <v>0.83</v>
      </c>
      <c r="I13" s="16">
        <f t="shared" si="2"/>
        <v>2E-3</v>
      </c>
      <c r="J13" s="16">
        <f>ROUND(G13/520-1,2)</f>
        <v>-0.32</v>
      </c>
    </row>
    <row r="14" spans="1:10" x14ac:dyDescent="0.25">
      <c r="A14" s="1" t="s">
        <v>16</v>
      </c>
      <c r="B14" s="1" t="s">
        <v>23</v>
      </c>
      <c r="C14" s="11"/>
      <c r="D14" s="11"/>
      <c r="E14" s="11">
        <v>33403</v>
      </c>
      <c r="F14" s="11"/>
      <c r="G14" s="11">
        <f t="shared" si="0"/>
        <v>33403</v>
      </c>
      <c r="H14" s="17">
        <f t="shared" si="1"/>
        <v>78.41</v>
      </c>
      <c r="I14" s="16">
        <f t="shared" si="2"/>
        <v>0.16500000000000001</v>
      </c>
      <c r="J14" s="16">
        <f>ROUND(G14/25401-1,2)</f>
        <v>0.32</v>
      </c>
    </row>
    <row r="15" spans="1:10" x14ac:dyDescent="0.25">
      <c r="A15" s="1" t="s">
        <v>16</v>
      </c>
      <c r="B15" s="1" t="s">
        <v>24</v>
      </c>
      <c r="C15" s="11">
        <v>19720</v>
      </c>
      <c r="D15" s="11"/>
      <c r="E15" s="11">
        <v>4433</v>
      </c>
      <c r="F15" s="11"/>
      <c r="G15" s="11">
        <f t="shared" si="0"/>
        <v>24153</v>
      </c>
      <c r="H15" s="17">
        <f t="shared" si="1"/>
        <v>56.7</v>
      </c>
      <c r="I15" s="16">
        <f t="shared" si="2"/>
        <v>0.11899999999999999</v>
      </c>
      <c r="J15" s="16">
        <f>ROUND(G15/29595-1,2)</f>
        <v>-0.18</v>
      </c>
    </row>
    <row r="16" spans="1:10" x14ac:dyDescent="0.25">
      <c r="A16" s="1" t="s">
        <v>16</v>
      </c>
      <c r="B16" s="1" t="s">
        <v>25</v>
      </c>
      <c r="C16" s="11"/>
      <c r="D16" s="11"/>
      <c r="E16" s="11">
        <v>1036</v>
      </c>
      <c r="F16" s="11"/>
      <c r="G16" s="11">
        <f t="shared" si="0"/>
        <v>1036</v>
      </c>
      <c r="H16" s="17">
        <f t="shared" si="1"/>
        <v>2.4300000000000002</v>
      </c>
      <c r="I16" s="16">
        <f t="shared" si="2"/>
        <v>5.0000000000000001E-3</v>
      </c>
      <c r="J16" s="16">
        <f>ROUND(G16/766-1,2)</f>
        <v>0.35</v>
      </c>
    </row>
    <row r="17" spans="1:10" x14ac:dyDescent="0.25">
      <c r="A17" s="1" t="s">
        <v>16</v>
      </c>
      <c r="B17" s="1" t="s">
        <v>26</v>
      </c>
      <c r="C17" s="11">
        <v>17520</v>
      </c>
      <c r="D17" s="11"/>
      <c r="E17" s="11"/>
      <c r="F17" s="11"/>
      <c r="G17" s="11">
        <f t="shared" si="0"/>
        <v>17520</v>
      </c>
      <c r="H17" s="17">
        <f t="shared" si="1"/>
        <v>41.13</v>
      </c>
      <c r="I17" s="16">
        <f t="shared" si="2"/>
        <v>8.5999999999999993E-2</v>
      </c>
      <c r="J17" s="16">
        <f>ROUND(G17/18590-1,2)</f>
        <v>-0.06</v>
      </c>
    </row>
    <row r="18" spans="1:10" x14ac:dyDescent="0.25">
      <c r="A18" s="1" t="s">
        <v>16</v>
      </c>
      <c r="B18" s="1" t="s">
        <v>27</v>
      </c>
      <c r="C18" s="11"/>
      <c r="D18" s="11"/>
      <c r="E18" s="11">
        <v>240</v>
      </c>
      <c r="F18" s="11"/>
      <c r="G18" s="11">
        <f t="shared" si="0"/>
        <v>240</v>
      </c>
      <c r="H18" s="17">
        <f t="shared" si="1"/>
        <v>0.56000000000000005</v>
      </c>
      <c r="I18" s="16">
        <f t="shared" si="2"/>
        <v>1E-3</v>
      </c>
      <c r="J18" s="16">
        <f>ROUND(G18/245-1,2)</f>
        <v>-0.02</v>
      </c>
    </row>
    <row r="19" spans="1:10" x14ac:dyDescent="0.25">
      <c r="A19" s="1" t="s">
        <v>16</v>
      </c>
      <c r="B19" s="1" t="s">
        <v>28</v>
      </c>
      <c r="C19" s="11"/>
      <c r="D19" s="11"/>
      <c r="E19" s="11">
        <v>104</v>
      </c>
      <c r="F19" s="11"/>
      <c r="G19" s="11">
        <f t="shared" si="0"/>
        <v>104</v>
      </c>
      <c r="H19" s="17">
        <f t="shared" si="1"/>
        <v>0.24</v>
      </c>
      <c r="I19" s="16">
        <f t="shared" si="2"/>
        <v>1E-3</v>
      </c>
      <c r="J19" s="16">
        <f>ROUND(G19/130-1,2)</f>
        <v>-0.2</v>
      </c>
    </row>
    <row r="20" spans="1:10" x14ac:dyDescent="0.25">
      <c r="A20" s="1" t="s">
        <v>16</v>
      </c>
      <c r="B20" s="1" t="s">
        <v>29</v>
      </c>
      <c r="C20" s="11"/>
      <c r="D20" s="11"/>
      <c r="E20" s="11">
        <v>24</v>
      </c>
      <c r="F20" s="11"/>
      <c r="G20" s="11">
        <f t="shared" si="0"/>
        <v>24</v>
      </c>
      <c r="H20" s="17">
        <f t="shared" si="1"/>
        <v>0.06</v>
      </c>
      <c r="I20" s="16">
        <f t="shared" si="2"/>
        <v>0</v>
      </c>
      <c r="J20" s="16"/>
    </row>
    <row r="21" spans="1:10" x14ac:dyDescent="0.25">
      <c r="A21" s="1" t="s">
        <v>16</v>
      </c>
      <c r="B21" s="1" t="s">
        <v>30</v>
      </c>
      <c r="C21" s="11"/>
      <c r="D21" s="11"/>
      <c r="E21" s="11">
        <v>876</v>
      </c>
      <c r="F21" s="11"/>
      <c r="G21" s="11">
        <f t="shared" si="0"/>
        <v>876</v>
      </c>
      <c r="H21" s="17">
        <f t="shared" si="1"/>
        <v>2.06</v>
      </c>
      <c r="I21" s="16">
        <f t="shared" si="2"/>
        <v>4.0000000000000001E-3</v>
      </c>
      <c r="J21" s="16">
        <f>ROUND(G21/1182-1,2)</f>
        <v>-0.26</v>
      </c>
    </row>
    <row r="22" spans="1:10" x14ac:dyDescent="0.25">
      <c r="A22" s="1" t="s">
        <v>16</v>
      </c>
      <c r="B22" s="1" t="s">
        <v>31</v>
      </c>
      <c r="C22" s="11"/>
      <c r="D22" s="11"/>
      <c r="E22" s="11">
        <v>91</v>
      </c>
      <c r="F22" s="11"/>
      <c r="G22" s="11">
        <f t="shared" si="0"/>
        <v>91</v>
      </c>
      <c r="H22" s="17">
        <f t="shared" si="1"/>
        <v>0.21</v>
      </c>
      <c r="I22" s="16">
        <f t="shared" si="2"/>
        <v>0</v>
      </c>
      <c r="J22" s="16">
        <f>ROUND(G22/131-1,2)</f>
        <v>-0.31</v>
      </c>
    </row>
    <row r="23" spans="1:10" x14ac:dyDescent="0.25">
      <c r="A23" s="1" t="s">
        <v>16</v>
      </c>
      <c r="B23" s="1" t="s">
        <v>33</v>
      </c>
      <c r="C23" s="11"/>
      <c r="D23" s="11"/>
      <c r="E23" s="11">
        <v>376</v>
      </c>
      <c r="F23" s="11"/>
      <c r="G23" s="11">
        <f t="shared" si="0"/>
        <v>376</v>
      </c>
      <c r="H23" s="17">
        <f t="shared" si="1"/>
        <v>0.88</v>
      </c>
      <c r="I23" s="16">
        <f t="shared" si="2"/>
        <v>2E-3</v>
      </c>
      <c r="J23" s="16">
        <f>ROUND(G23/465-1,2)</f>
        <v>-0.19</v>
      </c>
    </row>
    <row r="24" spans="1:10" x14ac:dyDescent="0.25">
      <c r="A24" s="1" t="s">
        <v>16</v>
      </c>
      <c r="B24" s="1" t="s">
        <v>34</v>
      </c>
      <c r="C24" s="11"/>
      <c r="D24" s="11"/>
      <c r="E24" s="11">
        <v>23</v>
      </c>
      <c r="F24" s="11"/>
      <c r="G24" s="11">
        <f t="shared" si="0"/>
        <v>23</v>
      </c>
      <c r="H24" s="17">
        <f t="shared" si="1"/>
        <v>0.05</v>
      </c>
      <c r="I24" s="16">
        <f t="shared" si="2"/>
        <v>0</v>
      </c>
      <c r="J24" s="16">
        <f>ROUND(G24/57-1,2)</f>
        <v>-0.6</v>
      </c>
    </row>
    <row r="25" spans="1:10" x14ac:dyDescent="0.25">
      <c r="A25" s="1" t="s">
        <v>16</v>
      </c>
      <c r="B25" s="1" t="s">
        <v>35</v>
      </c>
      <c r="C25" s="11"/>
      <c r="D25" s="11"/>
      <c r="E25" s="11">
        <v>435</v>
      </c>
      <c r="F25" s="11"/>
      <c r="G25" s="11">
        <f t="shared" si="0"/>
        <v>435</v>
      </c>
      <c r="H25" s="17">
        <f t="shared" si="1"/>
        <v>1.02</v>
      </c>
      <c r="I25" s="16">
        <f t="shared" si="2"/>
        <v>2E-3</v>
      </c>
      <c r="J25" s="16">
        <f>ROUND(G25/62-1,2)</f>
        <v>6.02</v>
      </c>
    </row>
    <row r="26" spans="1:10" x14ac:dyDescent="0.25">
      <c r="A26" s="1" t="s">
        <v>16</v>
      </c>
      <c r="B26" s="1" t="s">
        <v>37</v>
      </c>
      <c r="C26" s="11"/>
      <c r="D26" s="11"/>
      <c r="E26" s="11">
        <v>481</v>
      </c>
      <c r="F26" s="11"/>
      <c r="G26" s="11">
        <f t="shared" si="0"/>
        <v>481</v>
      </c>
      <c r="H26" s="17">
        <f t="shared" si="1"/>
        <v>1.1299999999999999</v>
      </c>
      <c r="I26" s="16">
        <f t="shared" si="2"/>
        <v>2E-3</v>
      </c>
      <c r="J26" s="16">
        <f>ROUND(G26/471-1,2)</f>
        <v>0.02</v>
      </c>
    </row>
    <row r="27" spans="1:10" x14ac:dyDescent="0.25">
      <c r="A27" s="1" t="s">
        <v>16</v>
      </c>
      <c r="B27" s="1" t="s">
        <v>39</v>
      </c>
      <c r="C27" s="11"/>
      <c r="D27" s="11"/>
      <c r="E27" s="11">
        <v>1546</v>
      </c>
      <c r="F27" s="11"/>
      <c r="G27" s="11">
        <f t="shared" si="0"/>
        <v>1546</v>
      </c>
      <c r="H27" s="17">
        <f t="shared" si="1"/>
        <v>3.63</v>
      </c>
      <c r="I27" s="16">
        <f t="shared" si="2"/>
        <v>8.0000000000000002E-3</v>
      </c>
      <c r="J27" s="16">
        <f>ROUND(G27/1375-1,2)</f>
        <v>0.12</v>
      </c>
    </row>
    <row r="28" spans="1:10" x14ac:dyDescent="0.25">
      <c r="A28" s="1" t="s">
        <v>16</v>
      </c>
      <c r="B28" s="1" t="s">
        <v>38</v>
      </c>
      <c r="C28" s="11"/>
      <c r="D28" s="11"/>
      <c r="E28" s="11">
        <v>969</v>
      </c>
      <c r="F28" s="11"/>
      <c r="G28" s="11">
        <f t="shared" si="0"/>
        <v>969</v>
      </c>
      <c r="H28" s="17">
        <f t="shared" si="1"/>
        <v>2.27</v>
      </c>
      <c r="I28" s="16">
        <f t="shared" si="2"/>
        <v>5.0000000000000001E-3</v>
      </c>
      <c r="J28" s="16">
        <f>ROUND(G28/1561-1,2)</f>
        <v>-0.38</v>
      </c>
    </row>
    <row r="29" spans="1:10" x14ac:dyDescent="0.25">
      <c r="A29" s="1" t="s">
        <v>16</v>
      </c>
      <c r="B29" s="1" t="s">
        <v>40</v>
      </c>
      <c r="C29" s="11"/>
      <c r="D29" s="11"/>
      <c r="E29" s="11">
        <v>18136</v>
      </c>
      <c r="F29" s="11"/>
      <c r="G29" s="11">
        <f t="shared" si="0"/>
        <v>18136</v>
      </c>
      <c r="H29" s="17">
        <f t="shared" si="1"/>
        <v>42.57</v>
      </c>
      <c r="I29" s="16">
        <f t="shared" si="2"/>
        <v>8.8999999999999996E-2</v>
      </c>
      <c r="J29" s="16">
        <f>ROUND(G29/15326-1,2)</f>
        <v>0.18</v>
      </c>
    </row>
    <row r="30" spans="1:10" x14ac:dyDescent="0.25">
      <c r="A30" s="1" t="s">
        <v>16</v>
      </c>
      <c r="B30" s="1" t="s">
        <v>42</v>
      </c>
      <c r="C30" s="11"/>
      <c r="D30" s="11"/>
      <c r="E30" s="11">
        <v>5608</v>
      </c>
      <c r="F30" s="11"/>
      <c r="G30" s="11">
        <f t="shared" si="0"/>
        <v>5608</v>
      </c>
      <c r="H30" s="17">
        <f t="shared" si="1"/>
        <v>13.16</v>
      </c>
      <c r="I30" s="16">
        <f t="shared" si="2"/>
        <v>2.8000000000000001E-2</v>
      </c>
      <c r="J30" s="16">
        <f>ROUND(G30/5653-1,2)</f>
        <v>-0.01</v>
      </c>
    </row>
    <row r="31" spans="1:10" x14ac:dyDescent="0.25">
      <c r="A31" s="1" t="s">
        <v>16</v>
      </c>
      <c r="B31" s="1" t="s">
        <v>44</v>
      </c>
      <c r="C31" s="11"/>
      <c r="D31" s="11"/>
      <c r="E31" s="11">
        <v>2151</v>
      </c>
      <c r="F31" s="11"/>
      <c r="G31" s="11">
        <f t="shared" si="0"/>
        <v>2151</v>
      </c>
      <c r="H31" s="17">
        <f t="shared" si="1"/>
        <v>5.05</v>
      </c>
      <c r="I31" s="16">
        <f t="shared" si="2"/>
        <v>1.0999999999999999E-2</v>
      </c>
      <c r="J31" s="16">
        <f>ROUND(G31/2046-1,2)</f>
        <v>0.05</v>
      </c>
    </row>
    <row r="32" spans="1:10" x14ac:dyDescent="0.25">
      <c r="A32" s="1" t="s">
        <v>16</v>
      </c>
      <c r="B32" s="1" t="s">
        <v>32</v>
      </c>
      <c r="C32" s="11"/>
      <c r="D32" s="11"/>
      <c r="E32" s="11"/>
      <c r="F32" s="11"/>
      <c r="G32" s="11">
        <f t="shared" si="0"/>
        <v>0</v>
      </c>
      <c r="H32" s="17">
        <f t="shared" si="1"/>
        <v>0</v>
      </c>
      <c r="I32" s="16">
        <f t="shared" si="2"/>
        <v>0</v>
      </c>
      <c r="J32" s="16">
        <f>ROUND(G32/149-1,2)</f>
        <v>-1</v>
      </c>
    </row>
    <row r="33" spans="1:10" x14ac:dyDescent="0.25">
      <c r="A33" s="1" t="s">
        <v>16</v>
      </c>
      <c r="B33" s="1" t="s">
        <v>36</v>
      </c>
      <c r="C33" s="11"/>
      <c r="D33" s="11"/>
      <c r="E33" s="11"/>
      <c r="F33" s="11"/>
      <c r="G33" s="11">
        <f t="shared" si="0"/>
        <v>0</v>
      </c>
      <c r="H33" s="17">
        <f t="shared" si="1"/>
        <v>0</v>
      </c>
      <c r="I33" s="16">
        <f t="shared" si="2"/>
        <v>0</v>
      </c>
      <c r="J33" s="16">
        <f>ROUND(G33/62-1,2)</f>
        <v>-1</v>
      </c>
    </row>
    <row r="34" spans="1:10" x14ac:dyDescent="0.25">
      <c r="A34" s="1" t="s">
        <v>16</v>
      </c>
      <c r="B34" s="1" t="s">
        <v>41</v>
      </c>
      <c r="C34" s="11"/>
      <c r="D34" s="11"/>
      <c r="E34" s="11"/>
      <c r="F34" s="11"/>
      <c r="G34" s="11">
        <f t="shared" si="0"/>
        <v>0</v>
      </c>
      <c r="H34" s="17">
        <f t="shared" si="1"/>
        <v>0</v>
      </c>
      <c r="I34" s="16">
        <f t="shared" si="2"/>
        <v>0</v>
      </c>
      <c r="J34" s="16"/>
    </row>
    <row r="35" spans="1:10" x14ac:dyDescent="0.25">
      <c r="A35" s="1" t="s">
        <v>45</v>
      </c>
      <c r="B35" s="1" t="s">
        <v>46</v>
      </c>
      <c r="C35" s="11">
        <v>41270</v>
      </c>
      <c r="D35" s="11"/>
      <c r="E35" s="11"/>
      <c r="F35" s="11">
        <v>100</v>
      </c>
      <c r="G35" s="11">
        <f t="shared" si="0"/>
        <v>41370</v>
      </c>
      <c r="H35" s="17">
        <f t="shared" si="1"/>
        <v>97.11</v>
      </c>
      <c r="I35" s="16">
        <f t="shared" si="2"/>
        <v>0.20399999999999999</v>
      </c>
      <c r="J35" s="16">
        <f>ROUND(G35/50990-1,2)</f>
        <v>-0.19</v>
      </c>
    </row>
    <row r="36" spans="1:10" x14ac:dyDescent="0.25">
      <c r="A36" s="1" t="s">
        <v>45</v>
      </c>
      <c r="B36" s="1" t="s">
        <v>47</v>
      </c>
      <c r="C36" s="11"/>
      <c r="D36" s="11"/>
      <c r="E36" s="11">
        <v>8173</v>
      </c>
      <c r="F36" s="11"/>
      <c r="G36" s="11">
        <f t="shared" si="0"/>
        <v>8173</v>
      </c>
      <c r="H36" s="17">
        <f t="shared" si="1"/>
        <v>19.190000000000001</v>
      </c>
      <c r="I36" s="16">
        <f t="shared" si="2"/>
        <v>0.04</v>
      </c>
      <c r="J36" s="16">
        <f>ROUND(G36/8406-1,2)</f>
        <v>-0.03</v>
      </c>
    </row>
    <row r="37" spans="1:10" x14ac:dyDescent="0.25">
      <c r="A37" s="1" t="s">
        <v>45</v>
      </c>
      <c r="B37" s="1" t="s">
        <v>48</v>
      </c>
      <c r="C37" s="11"/>
      <c r="D37" s="11"/>
      <c r="E37" s="11"/>
      <c r="F37" s="11"/>
      <c r="G37" s="11">
        <f t="shared" si="0"/>
        <v>0</v>
      </c>
      <c r="H37" s="17">
        <f t="shared" si="1"/>
        <v>0</v>
      </c>
      <c r="I37" s="16">
        <f t="shared" si="2"/>
        <v>0</v>
      </c>
      <c r="J37" s="16"/>
    </row>
    <row r="38" spans="1:10" x14ac:dyDescent="0.25">
      <c r="A38" s="1" t="s">
        <v>49</v>
      </c>
      <c r="B38" s="1" t="s">
        <v>52</v>
      </c>
      <c r="C38" s="11"/>
      <c r="D38" s="11"/>
      <c r="E38" s="11"/>
      <c r="F38" s="11"/>
      <c r="G38" s="11">
        <f t="shared" si="0"/>
        <v>0</v>
      </c>
      <c r="H38" s="17">
        <f t="shared" si="1"/>
        <v>0</v>
      </c>
      <c r="I38" s="16">
        <f t="shared" si="2"/>
        <v>0</v>
      </c>
      <c r="J38" s="16"/>
    </row>
    <row r="39" spans="1:10" x14ac:dyDescent="0.25">
      <c r="A39" s="26" t="s">
        <v>12</v>
      </c>
      <c r="B39" s="26"/>
      <c r="C39" s="12">
        <f t="shared" ref="C39:H39" si="3">SUM(C8:C38)</f>
        <v>121840</v>
      </c>
      <c r="D39" s="12">
        <f t="shared" si="3"/>
        <v>0</v>
      </c>
      <c r="E39" s="12">
        <f t="shared" si="3"/>
        <v>80837</v>
      </c>
      <c r="F39" s="12">
        <f t="shared" si="3"/>
        <v>100</v>
      </c>
      <c r="G39" s="12">
        <f t="shared" si="3"/>
        <v>202777</v>
      </c>
      <c r="H39" s="15">
        <f t="shared" si="3"/>
        <v>475.99</v>
      </c>
      <c r="I39" s="18"/>
      <c r="J39" s="18"/>
    </row>
    <row r="40" spans="1:10" x14ac:dyDescent="0.25">
      <c r="A40" s="26" t="s">
        <v>14</v>
      </c>
      <c r="B40" s="26"/>
      <c r="C40" s="13">
        <f>ROUND(C39/G39,2)</f>
        <v>0.6</v>
      </c>
      <c r="D40" s="13">
        <f>ROUND(D39/G39,2)</f>
        <v>0</v>
      </c>
      <c r="E40" s="13">
        <f>ROUND(E39/G39,2)</f>
        <v>0.4</v>
      </c>
      <c r="F40" s="13">
        <f>ROUND(F39/G39,2)</f>
        <v>0</v>
      </c>
      <c r="G40" s="14"/>
      <c r="H40" s="14"/>
      <c r="I40" s="18"/>
      <c r="J40" s="18"/>
    </row>
    <row r="41" spans="1:10" x14ac:dyDescent="0.25">
      <c r="A41" s="2" t="s">
        <v>53</v>
      </c>
      <c r="B41" s="2"/>
      <c r="C41" s="14"/>
      <c r="D41" s="14"/>
      <c r="E41" s="14"/>
      <c r="F41" s="14"/>
      <c r="G41" s="14"/>
      <c r="H41" s="14"/>
      <c r="I41" s="18"/>
      <c r="J41" s="18"/>
    </row>
    <row r="42" spans="1:10" x14ac:dyDescent="0.25">
      <c r="C42" s="9"/>
      <c r="D42" s="9"/>
      <c r="E42" s="9"/>
      <c r="F42" s="9"/>
      <c r="G42" s="9"/>
      <c r="H42" s="9"/>
      <c r="I42" s="10"/>
      <c r="J42" s="10"/>
    </row>
    <row r="43" spans="1:10" x14ac:dyDescent="0.25">
      <c r="C43" s="9"/>
      <c r="D43" s="9"/>
      <c r="E43" s="9"/>
      <c r="F43" s="9"/>
      <c r="G43" s="9"/>
      <c r="H43" s="9"/>
      <c r="I43" s="10"/>
      <c r="J43" s="10"/>
    </row>
    <row r="44" spans="1:10" x14ac:dyDescent="0.25">
      <c r="C44" s="9"/>
      <c r="D44" s="9"/>
      <c r="E44" s="9"/>
      <c r="F44" s="9"/>
      <c r="G44" s="9"/>
      <c r="H44" s="9"/>
      <c r="I44" s="10"/>
      <c r="J44" s="10"/>
    </row>
    <row r="45" spans="1:10" x14ac:dyDescent="0.25">
      <c r="A45" s="26" t="s">
        <v>54</v>
      </c>
      <c r="B45" s="26"/>
      <c r="C45" s="12" t="s">
        <v>8</v>
      </c>
      <c r="D45" s="12" t="s">
        <v>9</v>
      </c>
      <c r="E45" s="12" t="s">
        <v>10</v>
      </c>
      <c r="F45" s="12" t="s">
        <v>11</v>
      </c>
      <c r="G45" s="12" t="s">
        <v>12</v>
      </c>
      <c r="H45" s="15" t="s">
        <v>13</v>
      </c>
      <c r="I45" s="18"/>
      <c r="J45" s="18"/>
    </row>
    <row r="46" spans="1:10" x14ac:dyDescent="0.25">
      <c r="A46" s="21" t="s">
        <v>55</v>
      </c>
      <c r="B46" s="21"/>
      <c r="C46" s="11">
        <v>80570</v>
      </c>
      <c r="D46" s="11">
        <v>0</v>
      </c>
      <c r="E46" s="11">
        <v>72664</v>
      </c>
      <c r="F46" s="11">
        <v>0</v>
      </c>
      <c r="G46" s="11">
        <f>SUM(C46:F46)</f>
        <v>153234</v>
      </c>
      <c r="H46" s="17">
        <f>ROUND(G46/426,2)</f>
        <v>359.7</v>
      </c>
      <c r="I46" s="10"/>
      <c r="J46" s="10"/>
    </row>
    <row r="47" spans="1:10" x14ac:dyDescent="0.25">
      <c r="A47" s="21" t="s">
        <v>56</v>
      </c>
      <c r="B47" s="21"/>
      <c r="C47" s="11">
        <v>41270</v>
      </c>
      <c r="D47" s="11">
        <v>0</v>
      </c>
      <c r="E47" s="11">
        <v>8173</v>
      </c>
      <c r="F47" s="11">
        <v>100</v>
      </c>
      <c r="G47" s="11">
        <f>SUM(C47:F47)</f>
        <v>49543</v>
      </c>
      <c r="H47" s="17">
        <f>ROUND(G47/426,2)</f>
        <v>116.3</v>
      </c>
      <c r="I47" s="10"/>
      <c r="J47" s="10"/>
    </row>
    <row r="48" spans="1:10" x14ac:dyDescent="0.25">
      <c r="A48" s="21" t="s">
        <v>57</v>
      </c>
      <c r="B48" s="21"/>
      <c r="C48" s="11">
        <v>0</v>
      </c>
      <c r="D48" s="11">
        <v>0</v>
      </c>
      <c r="E48" s="11">
        <v>0</v>
      </c>
      <c r="F48" s="11">
        <v>0</v>
      </c>
      <c r="G48" s="11">
        <f>SUM(C48:F48)</f>
        <v>0</v>
      </c>
      <c r="H48" s="17">
        <f>ROUND(G48/426,2)</f>
        <v>0</v>
      </c>
      <c r="I48" s="10"/>
      <c r="J48" s="10"/>
    </row>
    <row r="49" spans="1:10" x14ac:dyDescent="0.25">
      <c r="C49" s="9"/>
      <c r="D49" s="9"/>
      <c r="E49" s="9"/>
      <c r="F49" s="9"/>
      <c r="G49" s="9"/>
      <c r="H49" s="9"/>
      <c r="I49" s="10"/>
      <c r="J49" s="10"/>
    </row>
    <row r="50" spans="1:10" x14ac:dyDescent="0.25">
      <c r="C50" s="9"/>
      <c r="D50" s="9"/>
      <c r="E50" s="9"/>
      <c r="F50" s="9"/>
      <c r="G50" s="9"/>
      <c r="H50" s="9"/>
      <c r="I50" s="10"/>
      <c r="J50" s="10"/>
    </row>
    <row r="51" spans="1:10" x14ac:dyDescent="0.25">
      <c r="C51" s="9"/>
      <c r="D51" s="9"/>
      <c r="E51" s="9"/>
      <c r="F51" s="9"/>
      <c r="G51" s="9"/>
      <c r="H51" s="9"/>
      <c r="I51" s="10"/>
      <c r="J51" s="10"/>
    </row>
    <row r="52" spans="1:10" x14ac:dyDescent="0.25">
      <c r="C52" s="9"/>
      <c r="D52" s="9"/>
      <c r="E52" s="9"/>
      <c r="F52" s="9"/>
      <c r="G52" s="9"/>
      <c r="H52" s="9"/>
      <c r="I52" s="10"/>
      <c r="J52" s="10"/>
    </row>
    <row r="53" spans="1:10" x14ac:dyDescent="0.25">
      <c r="A53" s="26" t="s">
        <v>58</v>
      </c>
      <c r="B53" s="26"/>
      <c r="C53" s="15" t="s">
        <v>2</v>
      </c>
      <c r="D53" s="15">
        <v>2024</v>
      </c>
      <c r="E53" s="15" t="s">
        <v>60</v>
      </c>
      <c r="F53" s="14"/>
      <c r="G53" s="15" t="s">
        <v>61</v>
      </c>
      <c r="H53" s="15" t="s">
        <v>2</v>
      </c>
      <c r="I53" s="13" t="s">
        <v>62</v>
      </c>
      <c r="J53" s="13" t="s">
        <v>60</v>
      </c>
    </row>
    <row r="54" spans="1:10" x14ac:dyDescent="0.25">
      <c r="A54" s="21" t="s">
        <v>59</v>
      </c>
      <c r="B54" s="21"/>
      <c r="C54" s="16">
        <f>ROUND(0.7553, 4)</f>
        <v>0.75529999999999997</v>
      </c>
      <c r="D54" s="16">
        <f>ROUND(0.734, 4)</f>
        <v>0.73399999999999999</v>
      </c>
      <c r="E54" s="16">
        <f>ROUND(0.7856, 4)</f>
        <v>0.78559999999999997</v>
      </c>
      <c r="F54" s="9"/>
      <c r="G54" s="15" t="s">
        <v>63</v>
      </c>
      <c r="H54" s="27" t="s">
        <v>64</v>
      </c>
      <c r="I54" s="24" t="s">
        <v>65</v>
      </c>
      <c r="J54" s="24" t="s">
        <v>66</v>
      </c>
    </row>
    <row r="55" spans="1:10" x14ac:dyDescent="0.25">
      <c r="A55" s="21" t="s">
        <v>67</v>
      </c>
      <c r="B55" s="21"/>
      <c r="C55" s="16">
        <f>ROUND(0.7553, 4)</f>
        <v>0.75529999999999997</v>
      </c>
      <c r="D55" s="16">
        <f>ROUND(0.6968, 4)</f>
        <v>0.69679999999999997</v>
      </c>
      <c r="E55" s="16">
        <f>ROUND(0.7702, 4)</f>
        <v>0.7702</v>
      </c>
      <c r="F55" s="9"/>
      <c r="G55" s="15" t="s">
        <v>68</v>
      </c>
      <c r="H55" s="28"/>
      <c r="I55" s="25"/>
      <c r="J55" s="25"/>
    </row>
    <row r="56" spans="1:10" x14ac:dyDescent="0.25">
      <c r="C56" s="9"/>
      <c r="D56" s="9"/>
      <c r="E56" s="9"/>
      <c r="F56" s="9"/>
      <c r="G56" s="9"/>
      <c r="H56" s="9"/>
      <c r="I56" s="10"/>
      <c r="J56" s="10"/>
    </row>
    <row r="57" spans="1:10" x14ac:dyDescent="0.25">
      <c r="C57" s="9"/>
      <c r="D57" s="9"/>
      <c r="E57" s="9"/>
      <c r="F57" s="9"/>
      <c r="G57" s="9"/>
      <c r="H57" s="9"/>
      <c r="I57" s="10"/>
      <c r="J57" s="10"/>
    </row>
    <row r="58" spans="1:10" x14ac:dyDescent="0.25">
      <c r="C58" s="9"/>
      <c r="D58" s="9"/>
      <c r="E58" s="9"/>
      <c r="F58" s="9"/>
      <c r="G58" s="9"/>
      <c r="H58" s="9"/>
      <c r="I58" s="10"/>
      <c r="J58" s="10"/>
    </row>
    <row r="59" spans="1:10" x14ac:dyDescent="0.25">
      <c r="A59" s="26" t="s">
        <v>69</v>
      </c>
      <c r="B59" s="26"/>
      <c r="C59" s="15" t="s">
        <v>2</v>
      </c>
      <c r="D59" s="15" t="s">
        <v>138</v>
      </c>
      <c r="E59" s="15" t="s">
        <v>71</v>
      </c>
      <c r="F59" s="15" t="s">
        <v>72</v>
      </c>
      <c r="G59" s="15" t="s">
        <v>73</v>
      </c>
      <c r="H59" s="14"/>
      <c r="I59" s="18"/>
      <c r="J59" s="18"/>
    </row>
    <row r="60" spans="1:10" x14ac:dyDescent="0.25">
      <c r="A60" s="21" t="s">
        <v>74</v>
      </c>
      <c r="B60" s="21"/>
      <c r="C60" s="17">
        <v>97.11</v>
      </c>
      <c r="D60" s="17">
        <v>119.4</v>
      </c>
      <c r="E60" s="17">
        <v>96.15</v>
      </c>
      <c r="F60" s="17">
        <v>57.94</v>
      </c>
      <c r="G60" s="17">
        <f>12/12*C60</f>
        <v>97.11</v>
      </c>
      <c r="H60" s="9"/>
      <c r="I60" s="10"/>
      <c r="J60" s="10"/>
    </row>
    <row r="61" spans="1:10" x14ac:dyDescent="0.25">
      <c r="A61" s="21" t="s">
        <v>75</v>
      </c>
      <c r="B61" s="21"/>
      <c r="C61" s="17">
        <v>41.13</v>
      </c>
      <c r="D61" s="17">
        <v>50.48</v>
      </c>
      <c r="E61" s="17">
        <v>62.28</v>
      </c>
      <c r="F61" s="17">
        <v>66.599999999999994</v>
      </c>
      <c r="G61" s="17">
        <f>12/12*C61</f>
        <v>41.13</v>
      </c>
      <c r="H61" s="9"/>
      <c r="I61" s="10"/>
      <c r="J61" s="10"/>
    </row>
    <row r="62" spans="1:10" x14ac:dyDescent="0.25">
      <c r="A62" s="21" t="s">
        <v>76</v>
      </c>
      <c r="B62" s="21"/>
      <c r="C62" s="17">
        <v>359.7</v>
      </c>
      <c r="D62" s="17">
        <v>332.9</v>
      </c>
      <c r="E62" s="17">
        <v>300.02</v>
      </c>
      <c r="F62" s="17">
        <v>295.08</v>
      </c>
      <c r="G62" s="17">
        <f>12/12*C62</f>
        <v>359.7</v>
      </c>
      <c r="H62" s="9"/>
      <c r="I62" s="10"/>
      <c r="J62" s="10"/>
    </row>
    <row r="63" spans="1:10" x14ac:dyDescent="0.25">
      <c r="A63" s="21" t="s">
        <v>77</v>
      </c>
      <c r="B63" s="21"/>
      <c r="C63" s="17">
        <v>116.3</v>
      </c>
      <c r="D63" s="17">
        <v>151.44999999999999</v>
      </c>
      <c r="E63" s="17">
        <v>120.96</v>
      </c>
      <c r="F63" s="17">
        <v>83.12</v>
      </c>
      <c r="G63" s="17">
        <f>12/12*C63</f>
        <v>116.3</v>
      </c>
      <c r="H63" s="9"/>
      <c r="I63" s="10"/>
      <c r="J63" s="10"/>
    </row>
    <row r="64" spans="1:10" x14ac:dyDescent="0.25">
      <c r="C64" s="9"/>
      <c r="D64" s="9"/>
      <c r="E64" s="9"/>
      <c r="F64" s="9"/>
      <c r="G64" s="9"/>
      <c r="H64" s="9"/>
      <c r="I64" s="10"/>
      <c r="J64" s="10"/>
    </row>
    <row r="65" spans="1:10" x14ac:dyDescent="0.25">
      <c r="C65" s="9"/>
      <c r="D65" s="9"/>
      <c r="E65" s="9"/>
      <c r="F65" s="9"/>
      <c r="G65" s="9"/>
      <c r="H65" s="9"/>
      <c r="I65" s="10"/>
      <c r="J65" s="10"/>
    </row>
    <row r="66" spans="1:10" x14ac:dyDescent="0.25">
      <c r="A66" s="22" t="s">
        <v>61</v>
      </c>
      <c r="B66" s="23"/>
      <c r="C66" s="9"/>
      <c r="D66" s="9"/>
      <c r="E66" s="9"/>
      <c r="F66" s="9"/>
      <c r="G66" s="9"/>
      <c r="H66" s="9"/>
      <c r="I66" s="10"/>
      <c r="J66" s="10"/>
    </row>
    <row r="67" spans="1:10" x14ac:dyDescent="0.25">
      <c r="A67" s="3" t="s">
        <v>78</v>
      </c>
      <c r="B67" s="1" t="s">
        <v>139</v>
      </c>
      <c r="C67" s="9"/>
      <c r="D67" s="9"/>
      <c r="E67" s="9"/>
      <c r="F67" s="9"/>
      <c r="G67" s="9"/>
      <c r="H67" s="9"/>
      <c r="I67" s="10"/>
      <c r="J67" s="10"/>
    </row>
    <row r="68" spans="1:10" x14ac:dyDescent="0.25">
      <c r="A68" s="3" t="s">
        <v>71</v>
      </c>
      <c r="B68" s="1" t="s">
        <v>80</v>
      </c>
      <c r="C68" s="9"/>
      <c r="D68" s="9"/>
      <c r="E68" s="9"/>
      <c r="F68" s="9"/>
      <c r="G68" s="9"/>
      <c r="H68" s="9"/>
      <c r="I68" s="10"/>
      <c r="J68" s="10"/>
    </row>
    <row r="69" spans="1:10" x14ac:dyDescent="0.25">
      <c r="A69" s="3" t="s">
        <v>72</v>
      </c>
      <c r="B69" s="1" t="s">
        <v>81</v>
      </c>
      <c r="C69" s="9"/>
      <c r="D69" s="9"/>
      <c r="E69" s="9"/>
      <c r="F69" s="9"/>
      <c r="G69" s="9"/>
      <c r="H69" s="9"/>
      <c r="I69" s="10"/>
      <c r="J69" s="10"/>
    </row>
    <row r="70" spans="1:10" x14ac:dyDescent="0.25">
      <c r="A70" s="3" t="s">
        <v>73</v>
      </c>
      <c r="B70" s="1" t="s">
        <v>82</v>
      </c>
      <c r="C70" s="9"/>
      <c r="D70" s="9"/>
      <c r="E70" s="9"/>
      <c r="F70" s="9"/>
      <c r="G70" s="9"/>
      <c r="H70" s="9"/>
      <c r="I70" s="10"/>
      <c r="J70" s="10"/>
    </row>
    <row r="71" spans="1:10" x14ac:dyDescent="0.25">
      <c r="C71" s="9"/>
      <c r="D71" s="9"/>
      <c r="E71" s="9"/>
      <c r="F71" s="9"/>
      <c r="G71" s="9"/>
      <c r="H71" s="9"/>
      <c r="I71" s="10"/>
      <c r="J71" s="10"/>
    </row>
  </sheetData>
  <mergeCells count="19">
    <mergeCell ref="C7:G7"/>
    <mergeCell ref="A39:B39"/>
    <mergeCell ref="A40:B40"/>
    <mergeCell ref="A45:B45"/>
    <mergeCell ref="A46:B46"/>
    <mergeCell ref="J54:J55"/>
    <mergeCell ref="A55:B55"/>
    <mergeCell ref="A59:B59"/>
    <mergeCell ref="A60:B60"/>
    <mergeCell ref="A47:B47"/>
    <mergeCell ref="A48:B48"/>
    <mergeCell ref="A53:B53"/>
    <mergeCell ref="A54:B54"/>
    <mergeCell ref="H54:H55"/>
    <mergeCell ref="A61:B61"/>
    <mergeCell ref="A62:B62"/>
    <mergeCell ref="A63:B63"/>
    <mergeCell ref="A66:B66"/>
    <mergeCell ref="I54:I5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J75"/>
  <sheetViews>
    <sheetView workbookViewId="0">
      <selection activeCell="H5" sqref="H5"/>
    </sheetView>
  </sheetViews>
  <sheetFormatPr defaultRowHeight="15" x14ac:dyDescent="0.25"/>
  <cols>
    <col min="1" max="1" width="28.42578125" bestFit="1" customWidth="1"/>
    <col min="2" max="2" width="59.5703125" bestFit="1" customWidth="1"/>
    <col min="3" max="3" width="12.7109375" bestFit="1" customWidth="1"/>
    <col min="4" max="4" width="32.28515625" bestFit="1" customWidth="1"/>
    <col min="5" max="5" width="13.85546875" bestFit="1" customWidth="1"/>
    <col min="6" max="6" width="8.5703125" bestFit="1" customWidth="1"/>
    <col min="7" max="7" width="47.7109375" bestFit="1" customWidth="1"/>
    <col min="8" max="9" width="16.7109375" bestFit="1" customWidth="1"/>
    <col min="10" max="10" width="24.42578125" bestFit="1" customWidth="1"/>
  </cols>
  <sheetData>
    <row r="2" spans="1:10" ht="18.75" x14ac:dyDescent="0.3">
      <c r="A2" s="3" t="s">
        <v>0</v>
      </c>
      <c r="B2" s="4" t="s">
        <v>140</v>
      </c>
    </row>
    <row r="3" spans="1:10" x14ac:dyDescent="0.25">
      <c r="A3" s="3" t="s">
        <v>2</v>
      </c>
      <c r="B3" s="1" t="s">
        <v>3</v>
      </c>
    </row>
    <row r="4" spans="1:10" x14ac:dyDescent="0.25">
      <c r="A4" s="3" t="s">
        <v>4</v>
      </c>
      <c r="B4" s="20">
        <v>3143</v>
      </c>
    </row>
    <row r="7" spans="1:10" x14ac:dyDescent="0.25">
      <c r="C7" s="22" t="s">
        <v>5</v>
      </c>
      <c r="D7" s="21"/>
      <c r="E7" s="21"/>
      <c r="F7" s="21"/>
      <c r="G7" s="21"/>
    </row>
    <row r="8" spans="1:10" x14ac:dyDescent="0.25">
      <c r="A8" s="3" t="s">
        <v>6</v>
      </c>
      <c r="B8" s="3" t="s">
        <v>7</v>
      </c>
      <c r="C8" s="15" t="s">
        <v>8</v>
      </c>
      <c r="D8" s="15" t="s">
        <v>9</v>
      </c>
      <c r="E8" s="15" t="s">
        <v>10</v>
      </c>
      <c r="F8" s="15" t="s">
        <v>11</v>
      </c>
      <c r="G8" s="15" t="s">
        <v>12</v>
      </c>
      <c r="H8" s="15" t="s">
        <v>13</v>
      </c>
      <c r="I8" s="15" t="s">
        <v>14</v>
      </c>
      <c r="J8" s="15" t="s">
        <v>15</v>
      </c>
    </row>
    <row r="9" spans="1:10" x14ac:dyDescent="0.25">
      <c r="A9" s="1" t="s">
        <v>16</v>
      </c>
      <c r="B9" s="1" t="s">
        <v>17</v>
      </c>
      <c r="C9" s="11"/>
      <c r="D9" s="11"/>
      <c r="E9" s="11">
        <v>101</v>
      </c>
      <c r="F9" s="11"/>
      <c r="G9" s="11">
        <f t="shared" ref="G9:G39" si="0">SUM(C9:F9)</f>
        <v>101</v>
      </c>
      <c r="H9" s="17">
        <f t="shared" ref="H9:H39" si="1">ROUND(G9/3143,2)</f>
        <v>0.03</v>
      </c>
      <c r="I9" s="16">
        <f t="shared" ref="I9:I39" si="2">ROUND(G9/$G$40,3)</f>
        <v>0</v>
      </c>
      <c r="J9" s="16">
        <f>ROUND(G9/42-1,2)</f>
        <v>1.4</v>
      </c>
    </row>
    <row r="10" spans="1:10" x14ac:dyDescent="0.25">
      <c r="A10" s="1" t="s">
        <v>16</v>
      </c>
      <c r="B10" s="1" t="s">
        <v>19</v>
      </c>
      <c r="C10" s="11">
        <v>101390</v>
      </c>
      <c r="D10" s="11"/>
      <c r="E10" s="11"/>
      <c r="F10" s="11">
        <v>530</v>
      </c>
      <c r="G10" s="11">
        <f t="shared" si="0"/>
        <v>101920</v>
      </c>
      <c r="H10" s="17">
        <f t="shared" si="1"/>
        <v>32.43</v>
      </c>
      <c r="I10" s="16">
        <f t="shared" si="2"/>
        <v>9.8000000000000004E-2</v>
      </c>
      <c r="J10" s="16">
        <f>ROUND(G10/98710-1,2)</f>
        <v>0.03</v>
      </c>
    </row>
    <row r="11" spans="1:10" x14ac:dyDescent="0.25">
      <c r="A11" s="1" t="s">
        <v>16</v>
      </c>
      <c r="B11" s="1" t="s">
        <v>20</v>
      </c>
      <c r="C11" s="11">
        <v>130660</v>
      </c>
      <c r="D11" s="11"/>
      <c r="E11" s="11"/>
      <c r="F11" s="11"/>
      <c r="G11" s="11">
        <f t="shared" si="0"/>
        <v>130660</v>
      </c>
      <c r="H11" s="17">
        <f t="shared" si="1"/>
        <v>41.57</v>
      </c>
      <c r="I11" s="16">
        <f t="shared" si="2"/>
        <v>0.126</v>
      </c>
      <c r="J11" s="16">
        <f>ROUND(G11/127340-1,2)</f>
        <v>0.03</v>
      </c>
    </row>
    <row r="12" spans="1:10" x14ac:dyDescent="0.25">
      <c r="A12" s="1" t="s">
        <v>16</v>
      </c>
      <c r="B12" s="1" t="s">
        <v>87</v>
      </c>
      <c r="C12" s="11"/>
      <c r="D12" s="11"/>
      <c r="E12" s="11">
        <v>207</v>
      </c>
      <c r="F12" s="11"/>
      <c r="G12" s="11">
        <f t="shared" si="0"/>
        <v>207</v>
      </c>
      <c r="H12" s="17">
        <f t="shared" si="1"/>
        <v>7.0000000000000007E-2</v>
      </c>
      <c r="I12" s="16">
        <f t="shared" si="2"/>
        <v>0</v>
      </c>
      <c r="J12" s="16">
        <f>ROUND(G12/140-1,2)</f>
        <v>0.48</v>
      </c>
    </row>
    <row r="13" spans="1:10" x14ac:dyDescent="0.25">
      <c r="A13" s="1" t="s">
        <v>16</v>
      </c>
      <c r="B13" s="1" t="s">
        <v>21</v>
      </c>
      <c r="C13" s="11"/>
      <c r="D13" s="11"/>
      <c r="E13" s="11">
        <v>189</v>
      </c>
      <c r="F13" s="11"/>
      <c r="G13" s="11">
        <f t="shared" si="0"/>
        <v>189</v>
      </c>
      <c r="H13" s="17">
        <f t="shared" si="1"/>
        <v>0.06</v>
      </c>
      <c r="I13" s="16">
        <f t="shared" si="2"/>
        <v>0</v>
      </c>
      <c r="J13" s="16">
        <f>ROUND(G13/273-1,2)</f>
        <v>-0.31</v>
      </c>
    </row>
    <row r="14" spans="1:10" x14ac:dyDescent="0.25">
      <c r="A14" s="1" t="s">
        <v>16</v>
      </c>
      <c r="B14" s="1" t="s">
        <v>22</v>
      </c>
      <c r="C14" s="11"/>
      <c r="D14" s="11"/>
      <c r="E14" s="11"/>
      <c r="F14" s="11">
        <v>800</v>
      </c>
      <c r="G14" s="11">
        <f t="shared" si="0"/>
        <v>800</v>
      </c>
      <c r="H14" s="17">
        <f t="shared" si="1"/>
        <v>0.25</v>
      </c>
      <c r="I14" s="16">
        <f t="shared" si="2"/>
        <v>1E-3</v>
      </c>
      <c r="J14" s="16"/>
    </row>
    <row r="15" spans="1:10" x14ac:dyDescent="0.25">
      <c r="A15" s="1" t="s">
        <v>16</v>
      </c>
      <c r="B15" s="1" t="s">
        <v>23</v>
      </c>
      <c r="C15" s="11"/>
      <c r="D15" s="11"/>
      <c r="E15" s="11">
        <v>52160</v>
      </c>
      <c r="F15" s="11"/>
      <c r="G15" s="11">
        <f t="shared" si="0"/>
        <v>52160</v>
      </c>
      <c r="H15" s="17">
        <f t="shared" si="1"/>
        <v>16.600000000000001</v>
      </c>
      <c r="I15" s="16">
        <f t="shared" si="2"/>
        <v>0.05</v>
      </c>
      <c r="J15" s="16">
        <f>ROUND(G15/53580-1,2)</f>
        <v>-0.03</v>
      </c>
    </row>
    <row r="16" spans="1:10" x14ac:dyDescent="0.25">
      <c r="A16" s="1" t="s">
        <v>16</v>
      </c>
      <c r="B16" s="1" t="s">
        <v>24</v>
      </c>
      <c r="C16" s="11">
        <v>143240</v>
      </c>
      <c r="D16" s="11"/>
      <c r="E16" s="11"/>
      <c r="F16" s="11">
        <v>3060</v>
      </c>
      <c r="G16" s="11">
        <f t="shared" si="0"/>
        <v>146300</v>
      </c>
      <c r="H16" s="17">
        <f t="shared" si="1"/>
        <v>46.55</v>
      </c>
      <c r="I16" s="16">
        <f t="shared" si="2"/>
        <v>0.14099999999999999</v>
      </c>
      <c r="J16" s="16">
        <f>ROUND(G16/143580-1,2)</f>
        <v>0.02</v>
      </c>
    </row>
    <row r="17" spans="1:10" x14ac:dyDescent="0.25">
      <c r="A17" s="1" t="s">
        <v>16</v>
      </c>
      <c r="B17" s="1" t="s">
        <v>25</v>
      </c>
      <c r="C17" s="11"/>
      <c r="D17" s="11"/>
      <c r="E17" s="11">
        <v>2790</v>
      </c>
      <c r="F17" s="11"/>
      <c r="G17" s="11">
        <f t="shared" si="0"/>
        <v>2790</v>
      </c>
      <c r="H17" s="17">
        <f t="shared" si="1"/>
        <v>0.89</v>
      </c>
      <c r="I17" s="16">
        <f t="shared" si="2"/>
        <v>3.0000000000000001E-3</v>
      </c>
      <c r="J17" s="16">
        <f>ROUND(G17/2955-1,2)</f>
        <v>-0.06</v>
      </c>
    </row>
    <row r="18" spans="1:10" x14ac:dyDescent="0.25">
      <c r="A18" s="1" t="s">
        <v>16</v>
      </c>
      <c r="B18" s="1" t="s">
        <v>26</v>
      </c>
      <c r="C18" s="11">
        <v>189040</v>
      </c>
      <c r="D18" s="11"/>
      <c r="E18" s="11"/>
      <c r="F18" s="11">
        <v>2040</v>
      </c>
      <c r="G18" s="11">
        <f t="shared" si="0"/>
        <v>191080</v>
      </c>
      <c r="H18" s="17">
        <f t="shared" si="1"/>
        <v>60.8</v>
      </c>
      <c r="I18" s="16">
        <f t="shared" si="2"/>
        <v>0.184</v>
      </c>
      <c r="J18" s="16">
        <f>ROUND(G18/188460-1,2)</f>
        <v>0.01</v>
      </c>
    </row>
    <row r="19" spans="1:10" x14ac:dyDescent="0.25">
      <c r="A19" s="1" t="s">
        <v>16</v>
      </c>
      <c r="B19" s="1" t="s">
        <v>27</v>
      </c>
      <c r="C19" s="11"/>
      <c r="D19" s="11"/>
      <c r="E19" s="11">
        <v>1013</v>
      </c>
      <c r="F19" s="11"/>
      <c r="G19" s="11">
        <f t="shared" si="0"/>
        <v>1013</v>
      </c>
      <c r="H19" s="17">
        <f t="shared" si="1"/>
        <v>0.32</v>
      </c>
      <c r="I19" s="16">
        <f t="shared" si="2"/>
        <v>1E-3</v>
      </c>
      <c r="J19" s="16">
        <f>ROUND(G19/573-1,2)</f>
        <v>0.77</v>
      </c>
    </row>
    <row r="20" spans="1:10" x14ac:dyDescent="0.25">
      <c r="A20" s="1" t="s">
        <v>16</v>
      </c>
      <c r="B20" s="1" t="s">
        <v>28</v>
      </c>
      <c r="C20" s="11"/>
      <c r="D20" s="11"/>
      <c r="E20" s="11">
        <v>498</v>
      </c>
      <c r="F20" s="11"/>
      <c r="G20" s="11">
        <f t="shared" si="0"/>
        <v>498</v>
      </c>
      <c r="H20" s="17">
        <f t="shared" si="1"/>
        <v>0.16</v>
      </c>
      <c r="I20" s="16">
        <f t="shared" si="2"/>
        <v>0</v>
      </c>
      <c r="J20" s="16">
        <f>ROUND(G20/348-1,2)</f>
        <v>0.43</v>
      </c>
    </row>
    <row r="21" spans="1:10" x14ac:dyDescent="0.25">
      <c r="A21" s="1" t="s">
        <v>16</v>
      </c>
      <c r="B21" s="1" t="s">
        <v>29</v>
      </c>
      <c r="C21" s="11"/>
      <c r="D21" s="11"/>
      <c r="E21" s="11">
        <v>100</v>
      </c>
      <c r="F21" s="11"/>
      <c r="G21" s="11">
        <f t="shared" si="0"/>
        <v>100</v>
      </c>
      <c r="H21" s="17">
        <f t="shared" si="1"/>
        <v>0.03</v>
      </c>
      <c r="I21" s="16">
        <f t="shared" si="2"/>
        <v>0</v>
      </c>
      <c r="J21" s="16">
        <f>ROUND(G21/108-1,2)</f>
        <v>-7.0000000000000007E-2</v>
      </c>
    </row>
    <row r="22" spans="1:10" x14ac:dyDescent="0.25">
      <c r="A22" s="1" t="s">
        <v>16</v>
      </c>
      <c r="B22" s="1" t="s">
        <v>30</v>
      </c>
      <c r="C22" s="11"/>
      <c r="D22" s="11"/>
      <c r="E22" s="11">
        <v>2895</v>
      </c>
      <c r="F22" s="11"/>
      <c r="G22" s="11">
        <f t="shared" si="0"/>
        <v>2895</v>
      </c>
      <c r="H22" s="17">
        <f t="shared" si="1"/>
        <v>0.92</v>
      </c>
      <c r="I22" s="16">
        <f t="shared" si="2"/>
        <v>3.0000000000000001E-3</v>
      </c>
      <c r="J22" s="16">
        <f>ROUND(G22/4780-1,2)</f>
        <v>-0.39</v>
      </c>
    </row>
    <row r="23" spans="1:10" x14ac:dyDescent="0.25">
      <c r="A23" s="1" t="s">
        <v>16</v>
      </c>
      <c r="B23" s="1" t="s">
        <v>31</v>
      </c>
      <c r="C23" s="11"/>
      <c r="D23" s="11"/>
      <c r="E23" s="11">
        <v>710</v>
      </c>
      <c r="F23" s="11"/>
      <c r="G23" s="11">
        <f t="shared" si="0"/>
        <v>710</v>
      </c>
      <c r="H23" s="17">
        <f t="shared" si="1"/>
        <v>0.23</v>
      </c>
      <c r="I23" s="16">
        <f t="shared" si="2"/>
        <v>1E-3</v>
      </c>
      <c r="J23" s="16">
        <f>ROUND(G23/610-1,2)</f>
        <v>0.16</v>
      </c>
    </row>
    <row r="24" spans="1:10" x14ac:dyDescent="0.25">
      <c r="A24" s="1" t="s">
        <v>16</v>
      </c>
      <c r="B24" s="1" t="s">
        <v>32</v>
      </c>
      <c r="C24" s="11"/>
      <c r="D24" s="11"/>
      <c r="E24" s="11">
        <v>600</v>
      </c>
      <c r="F24" s="11"/>
      <c r="G24" s="11">
        <f t="shared" si="0"/>
        <v>600</v>
      </c>
      <c r="H24" s="17">
        <f t="shared" si="1"/>
        <v>0.19</v>
      </c>
      <c r="I24" s="16">
        <f t="shared" si="2"/>
        <v>1E-3</v>
      </c>
      <c r="J24" s="16">
        <f>ROUND(G24/600-1,2)</f>
        <v>0</v>
      </c>
    </row>
    <row r="25" spans="1:10" x14ac:dyDescent="0.25">
      <c r="A25" s="1" t="s">
        <v>16</v>
      </c>
      <c r="B25" s="1" t="s">
        <v>33</v>
      </c>
      <c r="C25" s="11"/>
      <c r="D25" s="11"/>
      <c r="E25" s="11">
        <v>823</v>
      </c>
      <c r="F25" s="11"/>
      <c r="G25" s="11">
        <f t="shared" si="0"/>
        <v>823</v>
      </c>
      <c r="H25" s="17">
        <f t="shared" si="1"/>
        <v>0.26</v>
      </c>
      <c r="I25" s="16">
        <f t="shared" si="2"/>
        <v>1E-3</v>
      </c>
      <c r="J25" s="16">
        <f>ROUND(G25/1035-1,2)</f>
        <v>-0.2</v>
      </c>
    </row>
    <row r="26" spans="1:10" x14ac:dyDescent="0.25">
      <c r="A26" s="1" t="s">
        <v>16</v>
      </c>
      <c r="B26" s="1" t="s">
        <v>34</v>
      </c>
      <c r="C26" s="11"/>
      <c r="D26" s="11">
        <v>147</v>
      </c>
      <c r="E26" s="11">
        <v>315</v>
      </c>
      <c r="F26" s="11"/>
      <c r="G26" s="11">
        <f t="shared" si="0"/>
        <v>462</v>
      </c>
      <c r="H26" s="17">
        <f t="shared" si="1"/>
        <v>0.15</v>
      </c>
      <c r="I26" s="16">
        <f t="shared" si="2"/>
        <v>0</v>
      </c>
      <c r="J26" s="16">
        <f>ROUND(G26/444-1,2)</f>
        <v>0.04</v>
      </c>
    </row>
    <row r="27" spans="1:10" x14ac:dyDescent="0.25">
      <c r="A27" s="1" t="s">
        <v>16</v>
      </c>
      <c r="B27" s="1" t="s">
        <v>35</v>
      </c>
      <c r="C27" s="11"/>
      <c r="D27" s="11"/>
      <c r="E27" s="11">
        <v>1951</v>
      </c>
      <c r="F27" s="11"/>
      <c r="G27" s="11">
        <f t="shared" si="0"/>
        <v>1951</v>
      </c>
      <c r="H27" s="17">
        <f t="shared" si="1"/>
        <v>0.62</v>
      </c>
      <c r="I27" s="16">
        <f t="shared" si="2"/>
        <v>2E-3</v>
      </c>
      <c r="J27" s="16">
        <f>ROUND(G27/710-1,2)</f>
        <v>1.75</v>
      </c>
    </row>
    <row r="28" spans="1:10" x14ac:dyDescent="0.25">
      <c r="A28" s="1" t="s">
        <v>16</v>
      </c>
      <c r="B28" s="1" t="s">
        <v>37</v>
      </c>
      <c r="C28" s="11"/>
      <c r="D28" s="11"/>
      <c r="E28" s="11">
        <v>1273</v>
      </c>
      <c r="F28" s="11"/>
      <c r="G28" s="11">
        <f t="shared" si="0"/>
        <v>1273</v>
      </c>
      <c r="H28" s="17">
        <f t="shared" si="1"/>
        <v>0.41</v>
      </c>
      <c r="I28" s="16">
        <f t="shared" si="2"/>
        <v>1E-3</v>
      </c>
      <c r="J28" s="16">
        <f>ROUND(G28/2272-1,2)</f>
        <v>-0.44</v>
      </c>
    </row>
    <row r="29" spans="1:10" x14ac:dyDescent="0.25">
      <c r="A29" s="1" t="s">
        <v>16</v>
      </c>
      <c r="B29" s="1" t="s">
        <v>39</v>
      </c>
      <c r="C29" s="11"/>
      <c r="D29" s="11"/>
      <c r="E29" s="11">
        <v>5690</v>
      </c>
      <c r="F29" s="11"/>
      <c r="G29" s="11">
        <f t="shared" si="0"/>
        <v>5690</v>
      </c>
      <c r="H29" s="17">
        <f t="shared" si="1"/>
        <v>1.81</v>
      </c>
      <c r="I29" s="16">
        <f t="shared" si="2"/>
        <v>5.0000000000000001E-3</v>
      </c>
      <c r="J29" s="16">
        <f>ROUND(G29/8478-1,2)</f>
        <v>-0.33</v>
      </c>
    </row>
    <row r="30" spans="1:10" x14ac:dyDescent="0.25">
      <c r="A30" s="1" t="s">
        <v>16</v>
      </c>
      <c r="B30" s="1" t="s">
        <v>38</v>
      </c>
      <c r="C30" s="11"/>
      <c r="D30" s="11"/>
      <c r="E30" s="11">
        <v>1200</v>
      </c>
      <c r="F30" s="11"/>
      <c r="G30" s="11">
        <f t="shared" si="0"/>
        <v>1200</v>
      </c>
      <c r="H30" s="17">
        <f t="shared" si="1"/>
        <v>0.38</v>
      </c>
      <c r="I30" s="16">
        <f t="shared" si="2"/>
        <v>1E-3</v>
      </c>
      <c r="J30" s="16">
        <f>ROUND(G30/5816-1,2)</f>
        <v>-0.79</v>
      </c>
    </row>
    <row r="31" spans="1:10" x14ac:dyDescent="0.25">
      <c r="A31" s="1" t="s">
        <v>16</v>
      </c>
      <c r="B31" s="1" t="s">
        <v>40</v>
      </c>
      <c r="C31" s="11"/>
      <c r="D31" s="11"/>
      <c r="E31" s="11">
        <v>57520</v>
      </c>
      <c r="F31" s="11"/>
      <c r="G31" s="11">
        <f t="shared" si="0"/>
        <v>57520</v>
      </c>
      <c r="H31" s="17">
        <f t="shared" si="1"/>
        <v>18.3</v>
      </c>
      <c r="I31" s="16">
        <f t="shared" si="2"/>
        <v>5.6000000000000001E-2</v>
      </c>
      <c r="J31" s="16">
        <f>ROUND(G31/56400-1,2)</f>
        <v>0.02</v>
      </c>
    </row>
    <row r="32" spans="1:10" x14ac:dyDescent="0.25">
      <c r="A32" s="1" t="s">
        <v>16</v>
      </c>
      <c r="B32" s="1" t="s">
        <v>41</v>
      </c>
      <c r="C32" s="11"/>
      <c r="D32" s="11"/>
      <c r="E32" s="11">
        <v>6060</v>
      </c>
      <c r="F32" s="11"/>
      <c r="G32" s="11">
        <f t="shared" si="0"/>
        <v>6060</v>
      </c>
      <c r="H32" s="17">
        <f t="shared" si="1"/>
        <v>1.93</v>
      </c>
      <c r="I32" s="16">
        <f t="shared" si="2"/>
        <v>6.0000000000000001E-3</v>
      </c>
      <c r="J32" s="16">
        <f>ROUND(G32/4070-1,2)</f>
        <v>0.49</v>
      </c>
    </row>
    <row r="33" spans="1:10" x14ac:dyDescent="0.25">
      <c r="A33" s="1" t="s">
        <v>16</v>
      </c>
      <c r="B33" s="1" t="s">
        <v>42</v>
      </c>
      <c r="C33" s="11"/>
      <c r="D33" s="11"/>
      <c r="E33" s="11">
        <v>10850</v>
      </c>
      <c r="F33" s="11"/>
      <c r="G33" s="11">
        <f t="shared" si="0"/>
        <v>10850</v>
      </c>
      <c r="H33" s="17">
        <f t="shared" si="1"/>
        <v>3.45</v>
      </c>
      <c r="I33" s="16">
        <f t="shared" si="2"/>
        <v>0.01</v>
      </c>
      <c r="J33" s="16">
        <f>ROUND(G33/15310-1,2)</f>
        <v>-0.28999999999999998</v>
      </c>
    </row>
    <row r="34" spans="1:10" x14ac:dyDescent="0.25">
      <c r="A34" s="1" t="s">
        <v>16</v>
      </c>
      <c r="B34" s="1" t="s">
        <v>44</v>
      </c>
      <c r="C34" s="11"/>
      <c r="D34" s="11"/>
      <c r="E34" s="11">
        <v>108320</v>
      </c>
      <c r="F34" s="11">
        <v>2740</v>
      </c>
      <c r="G34" s="11">
        <f t="shared" si="0"/>
        <v>111060</v>
      </c>
      <c r="H34" s="17">
        <f t="shared" si="1"/>
        <v>35.340000000000003</v>
      </c>
      <c r="I34" s="16">
        <f t="shared" si="2"/>
        <v>0.107</v>
      </c>
      <c r="J34" s="16">
        <f>ROUND(G34/77720-1,2)</f>
        <v>0.43</v>
      </c>
    </row>
    <row r="35" spans="1:10" x14ac:dyDescent="0.25">
      <c r="A35" s="1" t="s">
        <v>16</v>
      </c>
      <c r="B35" s="1" t="s">
        <v>36</v>
      </c>
      <c r="C35" s="11"/>
      <c r="D35" s="11"/>
      <c r="E35" s="11"/>
      <c r="F35" s="11"/>
      <c r="G35" s="11">
        <f t="shared" si="0"/>
        <v>0</v>
      </c>
      <c r="H35" s="17">
        <f t="shared" si="1"/>
        <v>0</v>
      </c>
      <c r="I35" s="16">
        <f t="shared" si="2"/>
        <v>0</v>
      </c>
      <c r="J35" s="16">
        <f>ROUND(G35/850.5-1,2)</f>
        <v>-1</v>
      </c>
    </row>
    <row r="36" spans="1:10" x14ac:dyDescent="0.25">
      <c r="A36" s="1" t="s">
        <v>45</v>
      </c>
      <c r="B36" s="1" t="s">
        <v>46</v>
      </c>
      <c r="C36" s="11">
        <v>142020</v>
      </c>
      <c r="D36" s="11"/>
      <c r="E36" s="11"/>
      <c r="F36" s="11"/>
      <c r="G36" s="11">
        <f t="shared" si="0"/>
        <v>142020</v>
      </c>
      <c r="H36" s="17">
        <f t="shared" si="1"/>
        <v>45.19</v>
      </c>
      <c r="I36" s="16">
        <f t="shared" si="2"/>
        <v>0.13700000000000001</v>
      </c>
      <c r="J36" s="16">
        <f>ROUND(G36/150070-1,2)</f>
        <v>-0.05</v>
      </c>
    </row>
    <row r="37" spans="1:10" x14ac:dyDescent="0.25">
      <c r="A37" s="1" t="s">
        <v>45</v>
      </c>
      <c r="B37" s="1" t="s">
        <v>48</v>
      </c>
      <c r="C37" s="11"/>
      <c r="D37" s="11"/>
      <c r="E37" s="11"/>
      <c r="F37" s="11">
        <v>19760</v>
      </c>
      <c r="G37" s="11">
        <f t="shared" si="0"/>
        <v>19760</v>
      </c>
      <c r="H37" s="17">
        <f t="shared" si="1"/>
        <v>6.29</v>
      </c>
      <c r="I37" s="16">
        <f t="shared" si="2"/>
        <v>1.9E-2</v>
      </c>
      <c r="J37" s="16">
        <f>ROUND(G37/25300-1,2)</f>
        <v>-0.22</v>
      </c>
    </row>
    <row r="38" spans="1:10" x14ac:dyDescent="0.25">
      <c r="A38" s="1" t="s">
        <v>45</v>
      </c>
      <c r="B38" s="1" t="s">
        <v>47</v>
      </c>
      <c r="C38" s="11"/>
      <c r="D38" s="11"/>
      <c r="E38" s="11">
        <v>45520</v>
      </c>
      <c r="F38" s="11"/>
      <c r="G38" s="11">
        <f t="shared" si="0"/>
        <v>45520</v>
      </c>
      <c r="H38" s="17">
        <f t="shared" si="1"/>
        <v>14.48</v>
      </c>
      <c r="I38" s="16">
        <f t="shared" si="2"/>
        <v>4.3999999999999997E-2</v>
      </c>
      <c r="J38" s="16">
        <f>ROUND(G38/44920-1,2)</f>
        <v>0.01</v>
      </c>
    </row>
    <row r="39" spans="1:10" x14ac:dyDescent="0.25">
      <c r="A39" s="1" t="s">
        <v>49</v>
      </c>
      <c r="B39" s="1" t="s">
        <v>52</v>
      </c>
      <c r="C39" s="11"/>
      <c r="D39" s="11"/>
      <c r="E39" s="11"/>
      <c r="F39" s="11"/>
      <c r="G39" s="11">
        <f t="shared" si="0"/>
        <v>0</v>
      </c>
      <c r="H39" s="17">
        <f t="shared" si="1"/>
        <v>0</v>
      </c>
      <c r="I39" s="16">
        <f t="shared" si="2"/>
        <v>0</v>
      </c>
      <c r="J39" s="16"/>
    </row>
    <row r="40" spans="1:10" x14ac:dyDescent="0.25">
      <c r="A40" s="26" t="s">
        <v>12</v>
      </c>
      <c r="B40" s="26"/>
      <c r="C40" s="12">
        <f t="shared" ref="C40:H40" si="3">SUM(C8:C39)</f>
        <v>706350</v>
      </c>
      <c r="D40" s="12">
        <f t="shared" si="3"/>
        <v>147</v>
      </c>
      <c r="E40" s="12">
        <f t="shared" si="3"/>
        <v>300785</v>
      </c>
      <c r="F40" s="12">
        <f t="shared" si="3"/>
        <v>28930</v>
      </c>
      <c r="G40" s="12">
        <f t="shared" si="3"/>
        <v>1036212</v>
      </c>
      <c r="H40" s="15">
        <f t="shared" si="3"/>
        <v>329.71000000000004</v>
      </c>
      <c r="I40" s="18"/>
      <c r="J40" s="18"/>
    </row>
    <row r="41" spans="1:10" x14ac:dyDescent="0.25">
      <c r="A41" s="26" t="s">
        <v>14</v>
      </c>
      <c r="B41" s="26"/>
      <c r="C41" s="13">
        <f>ROUND(C40/G40,2)</f>
        <v>0.68</v>
      </c>
      <c r="D41" s="13">
        <f>ROUND(D40/G40,2)</f>
        <v>0</v>
      </c>
      <c r="E41" s="13">
        <f>ROUND(E40/G40,2)</f>
        <v>0.28999999999999998</v>
      </c>
      <c r="F41" s="13">
        <f>ROUND(F40/G40,2)</f>
        <v>0.03</v>
      </c>
      <c r="G41" s="14"/>
      <c r="H41" s="14"/>
      <c r="I41" s="18"/>
      <c r="J41" s="18"/>
    </row>
    <row r="42" spans="1:10" x14ac:dyDescent="0.25">
      <c r="A42" s="2" t="s">
        <v>53</v>
      </c>
      <c r="B42" s="2"/>
      <c r="C42" s="14"/>
      <c r="D42" s="14"/>
      <c r="E42" s="14"/>
      <c r="F42" s="14"/>
      <c r="G42" s="14"/>
      <c r="H42" s="14"/>
      <c r="I42" s="18"/>
      <c r="J42" s="18"/>
    </row>
    <row r="43" spans="1:10" x14ac:dyDescent="0.25">
      <c r="C43" s="9"/>
      <c r="D43" s="9"/>
      <c r="E43" s="9"/>
      <c r="F43" s="9"/>
      <c r="G43" s="9"/>
      <c r="H43" s="9"/>
      <c r="I43" s="10"/>
      <c r="J43" s="10"/>
    </row>
    <row r="44" spans="1:10" x14ac:dyDescent="0.25">
      <c r="C44" s="9"/>
      <c r="D44" s="9"/>
      <c r="E44" s="9"/>
      <c r="F44" s="9"/>
      <c r="G44" s="9"/>
      <c r="H44" s="9"/>
      <c r="I44" s="10"/>
      <c r="J44" s="10"/>
    </row>
    <row r="45" spans="1:10" x14ac:dyDescent="0.25">
      <c r="C45" s="9"/>
      <c r="D45" s="9"/>
      <c r="E45" s="9"/>
      <c r="F45" s="9"/>
      <c r="G45" s="9"/>
      <c r="H45" s="9"/>
      <c r="I45" s="10"/>
      <c r="J45" s="10"/>
    </row>
    <row r="46" spans="1:10" x14ac:dyDescent="0.25">
      <c r="A46" s="26" t="s">
        <v>54</v>
      </c>
      <c r="B46" s="26"/>
      <c r="C46" s="12" t="s">
        <v>8</v>
      </c>
      <c r="D46" s="12" t="s">
        <v>9</v>
      </c>
      <c r="E46" s="12" t="s">
        <v>10</v>
      </c>
      <c r="F46" s="12" t="s">
        <v>11</v>
      </c>
      <c r="G46" s="12" t="s">
        <v>12</v>
      </c>
      <c r="H46" s="15" t="s">
        <v>13</v>
      </c>
      <c r="I46" s="18"/>
      <c r="J46" s="18"/>
    </row>
    <row r="47" spans="1:10" x14ac:dyDescent="0.25">
      <c r="A47" s="21" t="s">
        <v>55</v>
      </c>
      <c r="B47" s="21"/>
      <c r="C47" s="11">
        <v>564330</v>
      </c>
      <c r="D47" s="11">
        <v>147</v>
      </c>
      <c r="E47" s="11">
        <v>255265</v>
      </c>
      <c r="F47" s="11">
        <v>9170</v>
      </c>
      <c r="G47" s="11">
        <f>SUM(C47:F47)</f>
        <v>828912</v>
      </c>
      <c r="H47" s="17">
        <f>ROUND(G47/3143,2)</f>
        <v>263.73</v>
      </c>
      <c r="I47" s="10"/>
      <c r="J47" s="10"/>
    </row>
    <row r="48" spans="1:10" x14ac:dyDescent="0.25">
      <c r="A48" s="21" t="s">
        <v>56</v>
      </c>
      <c r="B48" s="21"/>
      <c r="C48" s="11">
        <v>142020</v>
      </c>
      <c r="D48" s="11">
        <v>0</v>
      </c>
      <c r="E48" s="11">
        <v>45520</v>
      </c>
      <c r="F48" s="11">
        <v>19760</v>
      </c>
      <c r="G48" s="11">
        <f>SUM(C48:F48)</f>
        <v>207300</v>
      </c>
      <c r="H48" s="17">
        <f>ROUND(G48/3143,2)</f>
        <v>65.959999999999994</v>
      </c>
      <c r="I48" s="10"/>
      <c r="J48" s="10"/>
    </row>
    <row r="49" spans="1:10" x14ac:dyDescent="0.25">
      <c r="A49" s="21" t="s">
        <v>57</v>
      </c>
      <c r="B49" s="21"/>
      <c r="C49" s="11">
        <v>0</v>
      </c>
      <c r="D49" s="11">
        <v>0</v>
      </c>
      <c r="E49" s="11">
        <v>0</v>
      </c>
      <c r="F49" s="11">
        <v>0</v>
      </c>
      <c r="G49" s="11">
        <f>SUM(C49:F49)</f>
        <v>0</v>
      </c>
      <c r="H49" s="17">
        <f>ROUND(G49/3143,2)</f>
        <v>0</v>
      </c>
      <c r="I49" s="10"/>
      <c r="J49" s="10"/>
    </row>
    <row r="50" spans="1:10" x14ac:dyDescent="0.25">
      <c r="C50" s="9"/>
      <c r="D50" s="9"/>
      <c r="E50" s="9"/>
      <c r="F50" s="9"/>
      <c r="G50" s="9"/>
      <c r="H50" s="9"/>
      <c r="I50" s="10"/>
      <c r="J50" s="10"/>
    </row>
    <row r="51" spans="1:10" x14ac:dyDescent="0.25">
      <c r="C51" s="9"/>
      <c r="D51" s="9"/>
      <c r="E51" s="9"/>
      <c r="F51" s="9"/>
      <c r="G51" s="9"/>
      <c r="H51" s="9"/>
      <c r="I51" s="10"/>
      <c r="J51" s="10"/>
    </row>
    <row r="52" spans="1:10" x14ac:dyDescent="0.25">
      <c r="C52" s="9"/>
      <c r="D52" s="9"/>
      <c r="E52" s="9"/>
      <c r="F52" s="9"/>
      <c r="G52" s="9"/>
      <c r="H52" s="9"/>
      <c r="I52" s="10"/>
      <c r="J52" s="10"/>
    </row>
    <row r="53" spans="1:10" x14ac:dyDescent="0.25">
      <c r="C53" s="9"/>
      <c r="D53" s="9"/>
      <c r="E53" s="9"/>
      <c r="F53" s="9"/>
      <c r="G53" s="9"/>
      <c r="H53" s="9"/>
      <c r="I53" s="10"/>
      <c r="J53" s="10"/>
    </row>
    <row r="54" spans="1:10" x14ac:dyDescent="0.25">
      <c r="A54" s="26" t="s">
        <v>58</v>
      </c>
      <c r="B54" s="26"/>
      <c r="C54" s="15" t="s">
        <v>2</v>
      </c>
      <c r="D54" s="15">
        <v>2024</v>
      </c>
      <c r="E54" s="15" t="s">
        <v>60</v>
      </c>
      <c r="F54" s="14"/>
      <c r="G54" s="15" t="s">
        <v>61</v>
      </c>
      <c r="H54" s="15" t="s">
        <v>2</v>
      </c>
      <c r="I54" s="13" t="s">
        <v>62</v>
      </c>
      <c r="J54" s="13" t="s">
        <v>60</v>
      </c>
    </row>
    <row r="55" spans="1:10" x14ac:dyDescent="0.25">
      <c r="A55" s="21" t="s">
        <v>59</v>
      </c>
      <c r="B55" s="21"/>
      <c r="C55" s="16">
        <f>ROUND(0.8558, 4)</f>
        <v>0.85580000000000001</v>
      </c>
      <c r="D55" s="16">
        <f>ROUND(0.8359, 4)</f>
        <v>0.83589999999999998</v>
      </c>
      <c r="E55" s="16">
        <f>ROUND(0.7856, 4)</f>
        <v>0.78559999999999997</v>
      </c>
      <c r="F55" s="9"/>
      <c r="G55" s="15" t="s">
        <v>63</v>
      </c>
      <c r="H55" s="27" t="s">
        <v>64</v>
      </c>
      <c r="I55" s="24" t="s">
        <v>65</v>
      </c>
      <c r="J55" s="24" t="s">
        <v>66</v>
      </c>
    </row>
    <row r="56" spans="1:10" x14ac:dyDescent="0.25">
      <c r="A56" s="21" t="s">
        <v>67</v>
      </c>
      <c r="B56" s="21"/>
      <c r="C56" s="16">
        <f>ROUND(0.8558, 4)</f>
        <v>0.85580000000000001</v>
      </c>
      <c r="D56" s="16">
        <f>ROUND(0.8227, 4)</f>
        <v>0.82269999999999999</v>
      </c>
      <c r="E56" s="16">
        <f>ROUND(0.7702, 4)</f>
        <v>0.7702</v>
      </c>
      <c r="F56" s="9"/>
      <c r="G56" s="15" t="s">
        <v>68</v>
      </c>
      <c r="H56" s="28"/>
      <c r="I56" s="25"/>
      <c r="J56" s="25"/>
    </row>
    <row r="57" spans="1:10" x14ac:dyDescent="0.25">
      <c r="C57" s="9"/>
      <c r="D57" s="9"/>
      <c r="E57" s="9"/>
      <c r="F57" s="9"/>
      <c r="G57" s="9"/>
      <c r="H57" s="9"/>
      <c r="I57" s="10"/>
      <c r="J57" s="10"/>
    </row>
    <row r="58" spans="1:10" x14ac:dyDescent="0.25">
      <c r="C58" s="9"/>
      <c r="D58" s="9"/>
      <c r="E58" s="9"/>
      <c r="F58" s="9"/>
      <c r="G58" s="9"/>
      <c r="H58" s="9"/>
      <c r="I58" s="10"/>
      <c r="J58" s="10"/>
    </row>
    <row r="59" spans="1:10" x14ac:dyDescent="0.25">
      <c r="C59" s="9"/>
      <c r="D59" s="9"/>
      <c r="E59" s="9"/>
      <c r="F59" s="9"/>
      <c r="G59" s="9"/>
      <c r="H59" s="9"/>
      <c r="I59" s="10"/>
      <c r="J59" s="10"/>
    </row>
    <row r="60" spans="1:10" x14ac:dyDescent="0.25">
      <c r="A60" s="26" t="s">
        <v>69</v>
      </c>
      <c r="B60" s="26"/>
      <c r="C60" s="15" t="s">
        <v>2</v>
      </c>
      <c r="D60" s="15" t="s">
        <v>141</v>
      </c>
      <c r="E60" s="15" t="s">
        <v>71</v>
      </c>
      <c r="F60" s="15" t="s">
        <v>72</v>
      </c>
      <c r="G60" s="15" t="s">
        <v>73</v>
      </c>
      <c r="H60" s="14"/>
      <c r="I60" s="18"/>
      <c r="J60" s="18"/>
    </row>
    <row r="61" spans="1:10" x14ac:dyDescent="0.25">
      <c r="A61" s="21" t="s">
        <v>74</v>
      </c>
      <c r="B61" s="21"/>
      <c r="C61" s="17">
        <v>45.19</v>
      </c>
      <c r="D61" s="17">
        <v>49.47</v>
      </c>
      <c r="E61" s="17">
        <v>96.15</v>
      </c>
      <c r="F61" s="17">
        <v>57.94</v>
      </c>
      <c r="G61" s="17">
        <f>12/12*C61</f>
        <v>45.19</v>
      </c>
      <c r="H61" s="9"/>
      <c r="I61" s="10"/>
      <c r="J61" s="10"/>
    </row>
    <row r="62" spans="1:10" x14ac:dyDescent="0.25">
      <c r="A62" s="21" t="s">
        <v>75</v>
      </c>
      <c r="B62" s="21"/>
      <c r="C62" s="17">
        <v>60.8</v>
      </c>
      <c r="D62" s="17">
        <v>58.87</v>
      </c>
      <c r="E62" s="17">
        <v>62.28</v>
      </c>
      <c r="F62" s="17">
        <v>66.599999999999994</v>
      </c>
      <c r="G62" s="17">
        <f>12/12*C62</f>
        <v>60.8</v>
      </c>
      <c r="H62" s="9"/>
      <c r="I62" s="10"/>
      <c r="J62" s="10"/>
    </row>
    <row r="63" spans="1:10" x14ac:dyDescent="0.25">
      <c r="A63" s="21" t="s">
        <v>76</v>
      </c>
      <c r="B63" s="21"/>
      <c r="C63" s="17">
        <v>263.73</v>
      </c>
      <c r="D63" s="17">
        <v>247.07</v>
      </c>
      <c r="E63" s="17">
        <v>300.02</v>
      </c>
      <c r="F63" s="17">
        <v>295.08</v>
      </c>
      <c r="G63" s="17">
        <f>12/12*C63</f>
        <v>263.73</v>
      </c>
      <c r="H63" s="9"/>
      <c r="I63" s="10"/>
      <c r="J63" s="10"/>
    </row>
    <row r="64" spans="1:10" x14ac:dyDescent="0.25">
      <c r="A64" s="21" t="s">
        <v>77</v>
      </c>
      <c r="B64" s="21"/>
      <c r="C64" s="17">
        <v>66.55</v>
      </c>
      <c r="D64" s="17">
        <v>69.349999999999994</v>
      </c>
      <c r="E64" s="17">
        <v>120.96</v>
      </c>
      <c r="F64" s="17">
        <v>83.12</v>
      </c>
      <c r="G64" s="17">
        <f>12/12*C64</f>
        <v>66.55</v>
      </c>
      <c r="H64" s="9"/>
      <c r="I64" s="10"/>
      <c r="J64" s="10"/>
    </row>
    <row r="65" spans="1:10" x14ac:dyDescent="0.25">
      <c r="C65" s="9"/>
      <c r="D65" s="9"/>
      <c r="E65" s="9"/>
      <c r="F65" s="9"/>
      <c r="G65" s="9"/>
      <c r="H65" s="9"/>
      <c r="I65" s="10"/>
      <c r="J65" s="10"/>
    </row>
    <row r="66" spans="1:10" x14ac:dyDescent="0.25">
      <c r="C66" s="9"/>
      <c r="D66" s="9"/>
      <c r="E66" s="9"/>
      <c r="F66" s="9"/>
      <c r="G66" s="9"/>
      <c r="H66" s="9"/>
      <c r="I66" s="10"/>
      <c r="J66" s="10"/>
    </row>
    <row r="67" spans="1:10" x14ac:dyDescent="0.25">
      <c r="A67" s="22" t="s">
        <v>61</v>
      </c>
      <c r="B67" s="23"/>
      <c r="C67" s="9"/>
      <c r="D67" s="9"/>
      <c r="E67" s="9"/>
      <c r="F67" s="9"/>
      <c r="G67" s="9"/>
      <c r="H67" s="9"/>
      <c r="I67" s="10"/>
      <c r="J67" s="10"/>
    </row>
    <row r="68" spans="1:10" x14ac:dyDescent="0.25">
      <c r="A68" s="3" t="s">
        <v>78</v>
      </c>
      <c r="B68" s="1" t="s">
        <v>142</v>
      </c>
      <c r="C68" s="9"/>
      <c r="D68" s="9"/>
      <c r="E68" s="9"/>
      <c r="F68" s="9"/>
      <c r="G68" s="9"/>
      <c r="H68" s="9"/>
      <c r="I68" s="10"/>
      <c r="J68" s="10"/>
    </row>
    <row r="69" spans="1:10" x14ac:dyDescent="0.25">
      <c r="A69" s="3" t="s">
        <v>71</v>
      </c>
      <c r="B69" s="1" t="s">
        <v>80</v>
      </c>
      <c r="C69" s="9"/>
      <c r="D69" s="9"/>
      <c r="E69" s="9"/>
      <c r="F69" s="9"/>
      <c r="G69" s="9"/>
      <c r="H69" s="9"/>
      <c r="I69" s="10"/>
      <c r="J69" s="10"/>
    </row>
    <row r="70" spans="1:10" x14ac:dyDescent="0.25">
      <c r="A70" s="3" t="s">
        <v>72</v>
      </c>
      <c r="B70" s="1" t="s">
        <v>81</v>
      </c>
      <c r="C70" s="9"/>
      <c r="D70" s="9"/>
      <c r="E70" s="9"/>
      <c r="F70" s="9"/>
      <c r="G70" s="9"/>
      <c r="H70" s="9"/>
      <c r="I70" s="10"/>
      <c r="J70" s="10"/>
    </row>
    <row r="71" spans="1:10" x14ac:dyDescent="0.25">
      <c r="A71" s="3" t="s">
        <v>73</v>
      </c>
      <c r="B71" s="1" t="s">
        <v>82</v>
      </c>
      <c r="C71" s="9"/>
      <c r="D71" s="9"/>
      <c r="E71" s="9"/>
      <c r="F71" s="9"/>
      <c r="G71" s="9"/>
      <c r="H71" s="9"/>
      <c r="I71" s="10"/>
      <c r="J71" s="10"/>
    </row>
    <row r="72" spans="1:10" x14ac:dyDescent="0.25">
      <c r="C72" s="9"/>
      <c r="D72" s="9"/>
      <c r="E72" s="9"/>
      <c r="F72" s="9"/>
      <c r="G72" s="9"/>
      <c r="H72" s="9"/>
      <c r="I72" s="10"/>
      <c r="J72" s="10"/>
    </row>
    <row r="73" spans="1:10" x14ac:dyDescent="0.25">
      <c r="C73" s="9"/>
      <c r="D73" s="9"/>
      <c r="E73" s="9"/>
      <c r="F73" s="9"/>
      <c r="G73" s="9"/>
      <c r="H73" s="9"/>
      <c r="I73" s="10"/>
      <c r="J73" s="10"/>
    </row>
    <row r="74" spans="1:10" x14ac:dyDescent="0.25">
      <c r="C74" s="9"/>
      <c r="D74" s="9"/>
      <c r="E74" s="9"/>
      <c r="F74" s="9"/>
      <c r="G74" s="9"/>
      <c r="H74" s="9"/>
      <c r="I74" s="10"/>
      <c r="J74" s="10"/>
    </row>
    <row r="75" spans="1:10" x14ac:dyDescent="0.25">
      <c r="C75" s="9"/>
      <c r="D75" s="9"/>
      <c r="E75" s="9"/>
      <c r="F75" s="9"/>
      <c r="G75" s="9"/>
      <c r="H75" s="9"/>
      <c r="I75" s="10"/>
      <c r="J75" s="10"/>
    </row>
  </sheetData>
  <mergeCells count="19">
    <mergeCell ref="C7:G7"/>
    <mergeCell ref="A40:B40"/>
    <mergeCell ref="A41:B41"/>
    <mergeCell ref="A46:B46"/>
    <mergeCell ref="A47:B47"/>
    <mergeCell ref="J55:J56"/>
    <mergeCell ref="A56:B56"/>
    <mergeCell ref="A60:B60"/>
    <mergeCell ref="A61:B61"/>
    <mergeCell ref="A48:B48"/>
    <mergeCell ref="A49:B49"/>
    <mergeCell ref="A54:B54"/>
    <mergeCell ref="A55:B55"/>
    <mergeCell ref="H55:H56"/>
    <mergeCell ref="A62:B62"/>
    <mergeCell ref="A63:B63"/>
    <mergeCell ref="A64:B64"/>
    <mergeCell ref="A67:B67"/>
    <mergeCell ref="I55:I5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J75"/>
  <sheetViews>
    <sheetView workbookViewId="0">
      <selection activeCell="H5" sqref="H5"/>
    </sheetView>
  </sheetViews>
  <sheetFormatPr defaultRowHeight="15" x14ac:dyDescent="0.25"/>
  <cols>
    <col min="1" max="1" width="28.42578125" bestFit="1" customWidth="1"/>
    <col min="2" max="2" width="59.5703125" bestFit="1" customWidth="1"/>
    <col min="3" max="3" width="12.7109375" bestFit="1" customWidth="1"/>
    <col min="4" max="4" width="23.140625" bestFit="1" customWidth="1"/>
    <col min="5" max="5" width="13.85546875" bestFit="1" customWidth="1"/>
    <col min="6" max="6" width="8.5703125" bestFit="1" customWidth="1"/>
    <col min="7" max="7" width="47.7109375" bestFit="1" customWidth="1"/>
    <col min="8" max="9" width="16.7109375" bestFit="1" customWidth="1"/>
    <col min="10" max="10" width="24.42578125" bestFit="1" customWidth="1"/>
  </cols>
  <sheetData>
    <row r="2" spans="1:10" ht="18.75" x14ac:dyDescent="0.3">
      <c r="A2" s="3" t="s">
        <v>0</v>
      </c>
      <c r="B2" s="4" t="s">
        <v>143</v>
      </c>
    </row>
    <row r="3" spans="1:10" x14ac:dyDescent="0.25">
      <c r="A3" s="3" t="s">
        <v>2</v>
      </c>
      <c r="B3" s="1" t="s">
        <v>3</v>
      </c>
    </row>
    <row r="4" spans="1:10" x14ac:dyDescent="0.25">
      <c r="A4" s="3" t="s">
        <v>4</v>
      </c>
      <c r="B4" s="20">
        <v>2014</v>
      </c>
    </row>
    <row r="7" spans="1:10" x14ac:dyDescent="0.25">
      <c r="C7" s="22" t="s">
        <v>5</v>
      </c>
      <c r="D7" s="21"/>
      <c r="E7" s="21"/>
      <c r="F7" s="21"/>
      <c r="G7" s="21"/>
    </row>
    <row r="8" spans="1:10" x14ac:dyDescent="0.25">
      <c r="A8" s="3" t="s">
        <v>6</v>
      </c>
      <c r="B8" s="3" t="s">
        <v>7</v>
      </c>
      <c r="C8" s="15" t="s">
        <v>8</v>
      </c>
      <c r="D8" s="15" t="s">
        <v>9</v>
      </c>
      <c r="E8" s="15" t="s">
        <v>10</v>
      </c>
      <c r="F8" s="15" t="s">
        <v>11</v>
      </c>
      <c r="G8" s="15" t="s">
        <v>12</v>
      </c>
      <c r="H8" s="15" t="s">
        <v>13</v>
      </c>
      <c r="I8" s="15" t="s">
        <v>14</v>
      </c>
      <c r="J8" s="15" t="s">
        <v>15</v>
      </c>
    </row>
    <row r="9" spans="1:10" x14ac:dyDescent="0.25">
      <c r="A9" s="1" t="s">
        <v>16</v>
      </c>
      <c r="B9" s="1" t="s">
        <v>17</v>
      </c>
      <c r="C9" s="11"/>
      <c r="D9" s="11"/>
      <c r="E9" s="11">
        <v>103</v>
      </c>
      <c r="F9" s="11"/>
      <c r="G9" s="11">
        <f t="shared" ref="G9:G43" si="0">SUM(C9:F9)</f>
        <v>103</v>
      </c>
      <c r="H9" s="17">
        <f t="shared" ref="H9:H43" si="1">ROUND(G9/2014,2)</f>
        <v>0.05</v>
      </c>
      <c r="I9" s="16">
        <f t="shared" ref="I9:I43" si="2">ROUND(G9/$G$44,3)</f>
        <v>0</v>
      </c>
      <c r="J9" s="16">
        <f>ROUND(G9/54-1,2)</f>
        <v>0.91</v>
      </c>
    </row>
    <row r="10" spans="1:10" x14ac:dyDescent="0.25">
      <c r="A10" s="1" t="s">
        <v>16</v>
      </c>
      <c r="B10" s="1" t="s">
        <v>19</v>
      </c>
      <c r="C10" s="11">
        <v>68350</v>
      </c>
      <c r="D10" s="11"/>
      <c r="E10" s="11"/>
      <c r="F10" s="11"/>
      <c r="G10" s="11">
        <f t="shared" si="0"/>
        <v>68350</v>
      </c>
      <c r="H10" s="17">
        <f t="shared" si="1"/>
        <v>33.94</v>
      </c>
      <c r="I10" s="16">
        <f t="shared" si="2"/>
        <v>0.08</v>
      </c>
      <c r="J10" s="16">
        <f>ROUND(G10/68790-1,2)</f>
        <v>-0.01</v>
      </c>
    </row>
    <row r="11" spans="1:10" x14ac:dyDescent="0.25">
      <c r="A11" s="1" t="s">
        <v>16</v>
      </c>
      <c r="B11" s="1" t="s">
        <v>20</v>
      </c>
      <c r="C11" s="11">
        <v>68770</v>
      </c>
      <c r="D11" s="11"/>
      <c r="E11" s="11"/>
      <c r="F11" s="11"/>
      <c r="G11" s="11">
        <f t="shared" si="0"/>
        <v>68770</v>
      </c>
      <c r="H11" s="17">
        <f t="shared" si="1"/>
        <v>34.15</v>
      </c>
      <c r="I11" s="16">
        <f t="shared" si="2"/>
        <v>8.1000000000000003E-2</v>
      </c>
      <c r="J11" s="16">
        <f>ROUND(G11/73810-1,2)</f>
        <v>-7.0000000000000007E-2</v>
      </c>
    </row>
    <row r="12" spans="1:10" x14ac:dyDescent="0.25">
      <c r="A12" s="1" t="s">
        <v>16</v>
      </c>
      <c r="B12" s="1" t="s">
        <v>87</v>
      </c>
      <c r="C12" s="11"/>
      <c r="D12" s="11"/>
      <c r="E12" s="11">
        <v>29</v>
      </c>
      <c r="F12" s="11"/>
      <c r="G12" s="11">
        <f t="shared" si="0"/>
        <v>29</v>
      </c>
      <c r="H12" s="17">
        <f t="shared" si="1"/>
        <v>0.01</v>
      </c>
      <c r="I12" s="16">
        <f t="shared" si="2"/>
        <v>0</v>
      </c>
      <c r="J12" s="16">
        <f>ROUND(G12/96-1,2)</f>
        <v>-0.7</v>
      </c>
    </row>
    <row r="13" spans="1:10" x14ac:dyDescent="0.25">
      <c r="A13" s="1" t="s">
        <v>16</v>
      </c>
      <c r="B13" s="1" t="s">
        <v>21</v>
      </c>
      <c r="C13" s="11"/>
      <c r="D13" s="11"/>
      <c r="E13" s="11">
        <v>72</v>
      </c>
      <c r="F13" s="11"/>
      <c r="G13" s="11">
        <f t="shared" si="0"/>
        <v>72</v>
      </c>
      <c r="H13" s="17">
        <f t="shared" si="1"/>
        <v>0.04</v>
      </c>
      <c r="I13" s="16">
        <f t="shared" si="2"/>
        <v>0</v>
      </c>
      <c r="J13" s="16">
        <f>ROUND(G13/57-1,2)</f>
        <v>0.26</v>
      </c>
    </row>
    <row r="14" spans="1:10" x14ac:dyDescent="0.25">
      <c r="A14" s="1" t="s">
        <v>16</v>
      </c>
      <c r="B14" s="1" t="s">
        <v>22</v>
      </c>
      <c r="C14" s="11"/>
      <c r="D14" s="11"/>
      <c r="E14" s="11">
        <v>2060</v>
      </c>
      <c r="F14" s="11"/>
      <c r="G14" s="11">
        <f t="shared" si="0"/>
        <v>2060</v>
      </c>
      <c r="H14" s="17">
        <f t="shared" si="1"/>
        <v>1.02</v>
      </c>
      <c r="I14" s="16">
        <f t="shared" si="2"/>
        <v>2E-3</v>
      </c>
      <c r="J14" s="16">
        <f>ROUND(G14/3180-1,2)</f>
        <v>-0.35</v>
      </c>
    </row>
    <row r="15" spans="1:10" x14ac:dyDescent="0.25">
      <c r="A15" s="1" t="s">
        <v>16</v>
      </c>
      <c r="B15" s="1" t="s">
        <v>23</v>
      </c>
      <c r="C15" s="11"/>
      <c r="D15" s="11"/>
      <c r="E15" s="11">
        <v>64930</v>
      </c>
      <c r="F15" s="11"/>
      <c r="G15" s="11">
        <f t="shared" si="0"/>
        <v>64930</v>
      </c>
      <c r="H15" s="17">
        <f t="shared" si="1"/>
        <v>32.24</v>
      </c>
      <c r="I15" s="16">
        <f t="shared" si="2"/>
        <v>7.5999999999999998E-2</v>
      </c>
      <c r="J15" s="16">
        <f>ROUND(G15/68460-1,2)</f>
        <v>-0.05</v>
      </c>
    </row>
    <row r="16" spans="1:10" x14ac:dyDescent="0.25">
      <c r="A16" s="1" t="s">
        <v>16</v>
      </c>
      <c r="B16" s="1" t="s">
        <v>24</v>
      </c>
      <c r="C16" s="11">
        <v>90420</v>
      </c>
      <c r="D16" s="11"/>
      <c r="E16" s="11">
        <v>7500</v>
      </c>
      <c r="F16" s="11"/>
      <c r="G16" s="11">
        <f t="shared" si="0"/>
        <v>97920</v>
      </c>
      <c r="H16" s="17">
        <f t="shared" si="1"/>
        <v>48.62</v>
      </c>
      <c r="I16" s="16">
        <f t="shared" si="2"/>
        <v>0.115</v>
      </c>
      <c r="J16" s="16">
        <f>ROUND(G16/96285-1,2)</f>
        <v>0.02</v>
      </c>
    </row>
    <row r="17" spans="1:10" x14ac:dyDescent="0.25">
      <c r="A17" s="1" t="s">
        <v>16</v>
      </c>
      <c r="B17" s="1" t="s">
        <v>25</v>
      </c>
      <c r="C17" s="11"/>
      <c r="D17" s="11"/>
      <c r="E17" s="11">
        <v>5495</v>
      </c>
      <c r="F17" s="11"/>
      <c r="G17" s="11">
        <f t="shared" si="0"/>
        <v>5495</v>
      </c>
      <c r="H17" s="17">
        <f t="shared" si="1"/>
        <v>2.73</v>
      </c>
      <c r="I17" s="16">
        <f t="shared" si="2"/>
        <v>6.0000000000000001E-3</v>
      </c>
      <c r="J17" s="16">
        <f>ROUND(G17/3790-1,2)</f>
        <v>0.45</v>
      </c>
    </row>
    <row r="18" spans="1:10" x14ac:dyDescent="0.25">
      <c r="A18" s="1" t="s">
        <v>16</v>
      </c>
      <c r="B18" s="1" t="s">
        <v>26</v>
      </c>
      <c r="C18" s="11">
        <v>139150</v>
      </c>
      <c r="D18" s="11"/>
      <c r="E18" s="11"/>
      <c r="F18" s="11">
        <v>260</v>
      </c>
      <c r="G18" s="11">
        <f t="shared" si="0"/>
        <v>139410</v>
      </c>
      <c r="H18" s="17">
        <f t="shared" si="1"/>
        <v>69.22</v>
      </c>
      <c r="I18" s="16">
        <f t="shared" si="2"/>
        <v>0.16300000000000001</v>
      </c>
      <c r="J18" s="16">
        <f>ROUND(G18/133950-1,2)</f>
        <v>0.04</v>
      </c>
    </row>
    <row r="19" spans="1:10" x14ac:dyDescent="0.25">
      <c r="A19" s="1" t="s">
        <v>16</v>
      </c>
      <c r="B19" s="1" t="s">
        <v>27</v>
      </c>
      <c r="C19" s="11"/>
      <c r="D19" s="11"/>
      <c r="E19" s="11">
        <v>485</v>
      </c>
      <c r="F19" s="11"/>
      <c r="G19" s="11">
        <f t="shared" si="0"/>
        <v>485</v>
      </c>
      <c r="H19" s="17">
        <f t="shared" si="1"/>
        <v>0.24</v>
      </c>
      <c r="I19" s="16">
        <f t="shared" si="2"/>
        <v>1E-3</v>
      </c>
      <c r="J19" s="16">
        <f>ROUND(G19/416-1,2)</f>
        <v>0.17</v>
      </c>
    </row>
    <row r="20" spans="1:10" x14ac:dyDescent="0.25">
      <c r="A20" s="1" t="s">
        <v>16</v>
      </c>
      <c r="B20" s="1" t="s">
        <v>28</v>
      </c>
      <c r="C20" s="11"/>
      <c r="D20" s="11"/>
      <c r="E20" s="11">
        <v>415</v>
      </c>
      <c r="F20" s="11"/>
      <c r="G20" s="11">
        <f t="shared" si="0"/>
        <v>415</v>
      </c>
      <c r="H20" s="17">
        <f t="shared" si="1"/>
        <v>0.21</v>
      </c>
      <c r="I20" s="16">
        <f t="shared" si="2"/>
        <v>0</v>
      </c>
      <c r="J20" s="16">
        <f>ROUND(G20/230-1,2)</f>
        <v>0.8</v>
      </c>
    </row>
    <row r="21" spans="1:10" x14ac:dyDescent="0.25">
      <c r="A21" s="1" t="s">
        <v>16</v>
      </c>
      <c r="B21" s="1" t="s">
        <v>29</v>
      </c>
      <c r="C21" s="11"/>
      <c r="D21" s="11"/>
      <c r="E21" s="11">
        <v>332</v>
      </c>
      <c r="F21" s="11"/>
      <c r="G21" s="11">
        <f t="shared" si="0"/>
        <v>332</v>
      </c>
      <c r="H21" s="17">
        <f t="shared" si="1"/>
        <v>0.16</v>
      </c>
      <c r="I21" s="16">
        <f t="shared" si="2"/>
        <v>0</v>
      </c>
      <c r="J21" s="16">
        <f>ROUND(G21/309-1,2)</f>
        <v>7.0000000000000007E-2</v>
      </c>
    </row>
    <row r="22" spans="1:10" x14ac:dyDescent="0.25">
      <c r="A22" s="1" t="s">
        <v>16</v>
      </c>
      <c r="B22" s="1" t="s">
        <v>30</v>
      </c>
      <c r="C22" s="11"/>
      <c r="D22" s="11"/>
      <c r="E22" s="11">
        <v>4470</v>
      </c>
      <c r="F22" s="11"/>
      <c r="G22" s="11">
        <f t="shared" si="0"/>
        <v>4470</v>
      </c>
      <c r="H22" s="17">
        <f t="shared" si="1"/>
        <v>2.2200000000000002</v>
      </c>
      <c r="I22" s="16">
        <f t="shared" si="2"/>
        <v>5.0000000000000001E-3</v>
      </c>
      <c r="J22" s="16">
        <f>ROUND(G22/5270-1,2)</f>
        <v>-0.15</v>
      </c>
    </row>
    <row r="23" spans="1:10" x14ac:dyDescent="0.25">
      <c r="A23" s="1" t="s">
        <v>16</v>
      </c>
      <c r="B23" s="1" t="s">
        <v>31</v>
      </c>
      <c r="C23" s="11"/>
      <c r="D23" s="11"/>
      <c r="E23" s="11">
        <v>900</v>
      </c>
      <c r="F23" s="11"/>
      <c r="G23" s="11">
        <f t="shared" si="0"/>
        <v>900</v>
      </c>
      <c r="H23" s="17">
        <f t="shared" si="1"/>
        <v>0.45</v>
      </c>
      <c r="I23" s="16">
        <f t="shared" si="2"/>
        <v>1E-3</v>
      </c>
      <c r="J23" s="16">
        <f>ROUND(G23/230-1,2)</f>
        <v>2.91</v>
      </c>
    </row>
    <row r="24" spans="1:10" x14ac:dyDescent="0.25">
      <c r="A24" s="1" t="s">
        <v>16</v>
      </c>
      <c r="B24" s="1" t="s">
        <v>32</v>
      </c>
      <c r="C24" s="11"/>
      <c r="D24" s="11"/>
      <c r="E24" s="11">
        <v>990</v>
      </c>
      <c r="F24" s="11"/>
      <c r="G24" s="11">
        <f t="shared" si="0"/>
        <v>990</v>
      </c>
      <c r="H24" s="17">
        <f t="shared" si="1"/>
        <v>0.49</v>
      </c>
      <c r="I24" s="16">
        <f t="shared" si="2"/>
        <v>1E-3</v>
      </c>
      <c r="J24" s="16">
        <f>ROUND(G24/950-1,2)</f>
        <v>0.04</v>
      </c>
    </row>
    <row r="25" spans="1:10" x14ac:dyDescent="0.25">
      <c r="A25" s="1" t="s">
        <v>16</v>
      </c>
      <c r="B25" s="1" t="s">
        <v>33</v>
      </c>
      <c r="C25" s="11"/>
      <c r="D25" s="11"/>
      <c r="E25" s="11">
        <v>725</v>
      </c>
      <c r="F25" s="11"/>
      <c r="G25" s="11">
        <f t="shared" si="0"/>
        <v>725</v>
      </c>
      <c r="H25" s="17">
        <f t="shared" si="1"/>
        <v>0.36</v>
      </c>
      <c r="I25" s="16">
        <f t="shared" si="2"/>
        <v>1E-3</v>
      </c>
      <c r="J25" s="16">
        <f>ROUND(G25/1152-1,2)</f>
        <v>-0.37</v>
      </c>
    </row>
    <row r="26" spans="1:10" x14ac:dyDescent="0.25">
      <c r="A26" s="1" t="s">
        <v>16</v>
      </c>
      <c r="B26" s="1" t="s">
        <v>34</v>
      </c>
      <c r="C26" s="11"/>
      <c r="D26" s="11">
        <v>34</v>
      </c>
      <c r="E26" s="11">
        <v>134</v>
      </c>
      <c r="F26" s="11"/>
      <c r="G26" s="11">
        <f t="shared" si="0"/>
        <v>168</v>
      </c>
      <c r="H26" s="17">
        <f t="shared" si="1"/>
        <v>0.08</v>
      </c>
      <c r="I26" s="16">
        <f t="shared" si="2"/>
        <v>0</v>
      </c>
      <c r="J26" s="16">
        <f>ROUND(G26/152-1,2)</f>
        <v>0.11</v>
      </c>
    </row>
    <row r="27" spans="1:10" x14ac:dyDescent="0.25">
      <c r="A27" s="1" t="s">
        <v>16</v>
      </c>
      <c r="B27" s="1" t="s">
        <v>36</v>
      </c>
      <c r="C27" s="11"/>
      <c r="D27" s="11"/>
      <c r="E27" s="11">
        <v>212</v>
      </c>
      <c r="F27" s="11"/>
      <c r="G27" s="11">
        <f t="shared" si="0"/>
        <v>212</v>
      </c>
      <c r="H27" s="17">
        <f t="shared" si="1"/>
        <v>0.11</v>
      </c>
      <c r="I27" s="16">
        <f t="shared" si="2"/>
        <v>0</v>
      </c>
      <c r="J27" s="16">
        <f>ROUND(G27/395-1,2)</f>
        <v>-0.46</v>
      </c>
    </row>
    <row r="28" spans="1:10" x14ac:dyDescent="0.25">
      <c r="A28" s="1" t="s">
        <v>16</v>
      </c>
      <c r="B28" s="1" t="s">
        <v>35</v>
      </c>
      <c r="C28" s="11"/>
      <c r="D28" s="11"/>
      <c r="E28" s="11">
        <v>931</v>
      </c>
      <c r="F28" s="11"/>
      <c r="G28" s="11">
        <f t="shared" si="0"/>
        <v>931</v>
      </c>
      <c r="H28" s="17">
        <f t="shared" si="1"/>
        <v>0.46</v>
      </c>
      <c r="I28" s="16">
        <f t="shared" si="2"/>
        <v>1E-3</v>
      </c>
      <c r="J28" s="16">
        <f>ROUND(G28/280-1,2)</f>
        <v>2.33</v>
      </c>
    </row>
    <row r="29" spans="1:10" x14ac:dyDescent="0.25">
      <c r="A29" s="1" t="s">
        <v>16</v>
      </c>
      <c r="B29" s="1" t="s">
        <v>37</v>
      </c>
      <c r="C29" s="11"/>
      <c r="D29" s="11"/>
      <c r="E29" s="11">
        <v>2840</v>
      </c>
      <c r="F29" s="11"/>
      <c r="G29" s="11">
        <f t="shared" si="0"/>
        <v>2840</v>
      </c>
      <c r="H29" s="17">
        <f t="shared" si="1"/>
        <v>1.41</v>
      </c>
      <c r="I29" s="16">
        <f t="shared" si="2"/>
        <v>3.0000000000000001E-3</v>
      </c>
      <c r="J29" s="16">
        <f>ROUND(G29/1310-1,2)</f>
        <v>1.17</v>
      </c>
    </row>
    <row r="30" spans="1:10" x14ac:dyDescent="0.25">
      <c r="A30" s="1" t="s">
        <v>16</v>
      </c>
      <c r="B30" s="1" t="s">
        <v>39</v>
      </c>
      <c r="C30" s="11"/>
      <c r="D30" s="11"/>
      <c r="E30" s="11">
        <v>4500</v>
      </c>
      <c r="F30" s="11"/>
      <c r="G30" s="11">
        <f t="shared" si="0"/>
        <v>4500</v>
      </c>
      <c r="H30" s="17">
        <f t="shared" si="1"/>
        <v>2.23</v>
      </c>
      <c r="I30" s="16">
        <f t="shared" si="2"/>
        <v>5.0000000000000001E-3</v>
      </c>
      <c r="J30" s="16">
        <f>ROUND(G30/6640-1,2)</f>
        <v>-0.32</v>
      </c>
    </row>
    <row r="31" spans="1:10" x14ac:dyDescent="0.25">
      <c r="A31" s="1" t="s">
        <v>16</v>
      </c>
      <c r="B31" s="1" t="s">
        <v>38</v>
      </c>
      <c r="C31" s="11"/>
      <c r="D31" s="11"/>
      <c r="E31" s="11">
        <v>3710</v>
      </c>
      <c r="F31" s="11"/>
      <c r="G31" s="11">
        <f t="shared" si="0"/>
        <v>3710</v>
      </c>
      <c r="H31" s="17">
        <f t="shared" si="1"/>
        <v>1.84</v>
      </c>
      <c r="I31" s="16">
        <f t="shared" si="2"/>
        <v>4.0000000000000001E-3</v>
      </c>
      <c r="J31" s="16">
        <f>ROUND(G31/7210-1,2)</f>
        <v>-0.49</v>
      </c>
    </row>
    <row r="32" spans="1:10" x14ac:dyDescent="0.25">
      <c r="A32" s="1" t="s">
        <v>16</v>
      </c>
      <c r="B32" s="1" t="s">
        <v>40</v>
      </c>
      <c r="C32" s="11"/>
      <c r="D32" s="11"/>
      <c r="E32" s="11">
        <v>65040</v>
      </c>
      <c r="F32" s="11"/>
      <c r="G32" s="11">
        <f t="shared" si="0"/>
        <v>65040</v>
      </c>
      <c r="H32" s="17">
        <f t="shared" si="1"/>
        <v>32.29</v>
      </c>
      <c r="I32" s="16">
        <f t="shared" si="2"/>
        <v>7.5999999999999998E-2</v>
      </c>
      <c r="J32" s="16">
        <f>ROUND(G32/60210-1,2)</f>
        <v>0.08</v>
      </c>
    </row>
    <row r="33" spans="1:10" x14ac:dyDescent="0.25">
      <c r="A33" s="1" t="s">
        <v>16</v>
      </c>
      <c r="B33" s="1" t="s">
        <v>42</v>
      </c>
      <c r="C33" s="11"/>
      <c r="D33" s="11"/>
      <c r="E33" s="11">
        <v>19050</v>
      </c>
      <c r="F33" s="11"/>
      <c r="G33" s="11">
        <f t="shared" si="0"/>
        <v>19050</v>
      </c>
      <c r="H33" s="17">
        <f t="shared" si="1"/>
        <v>9.4600000000000009</v>
      </c>
      <c r="I33" s="16">
        <f t="shared" si="2"/>
        <v>2.1999999999999999E-2</v>
      </c>
      <c r="J33" s="16">
        <f>ROUND(G33/18750-1,2)</f>
        <v>0.02</v>
      </c>
    </row>
    <row r="34" spans="1:10" x14ac:dyDescent="0.25">
      <c r="A34" s="1" t="s">
        <v>16</v>
      </c>
      <c r="B34" s="1" t="s">
        <v>44</v>
      </c>
      <c r="C34" s="11"/>
      <c r="D34" s="11"/>
      <c r="E34" s="11">
        <v>88495</v>
      </c>
      <c r="F34" s="11"/>
      <c r="G34" s="11">
        <f t="shared" si="0"/>
        <v>88495</v>
      </c>
      <c r="H34" s="17">
        <f t="shared" si="1"/>
        <v>43.94</v>
      </c>
      <c r="I34" s="16">
        <f t="shared" si="2"/>
        <v>0.104</v>
      </c>
      <c r="J34" s="16">
        <f>ROUND(G34/88920-1,2)</f>
        <v>0</v>
      </c>
    </row>
    <row r="35" spans="1:10" x14ac:dyDescent="0.25">
      <c r="A35" s="1" t="s">
        <v>16</v>
      </c>
      <c r="B35" s="1" t="s">
        <v>144</v>
      </c>
      <c r="C35" s="11"/>
      <c r="D35" s="11"/>
      <c r="E35" s="11"/>
      <c r="F35" s="11"/>
      <c r="G35" s="11">
        <f t="shared" si="0"/>
        <v>0</v>
      </c>
      <c r="H35" s="17">
        <f t="shared" si="1"/>
        <v>0</v>
      </c>
      <c r="I35" s="16">
        <f t="shared" si="2"/>
        <v>0</v>
      </c>
      <c r="J35" s="16"/>
    </row>
    <row r="36" spans="1:10" x14ac:dyDescent="0.25">
      <c r="A36" s="1" t="s">
        <v>16</v>
      </c>
      <c r="B36" s="1" t="s">
        <v>145</v>
      </c>
      <c r="C36" s="11"/>
      <c r="D36" s="11"/>
      <c r="E36" s="11"/>
      <c r="F36" s="11"/>
      <c r="G36" s="11">
        <f t="shared" si="0"/>
        <v>0</v>
      </c>
      <c r="H36" s="17">
        <f t="shared" si="1"/>
        <v>0</v>
      </c>
      <c r="I36" s="16">
        <f t="shared" si="2"/>
        <v>0</v>
      </c>
      <c r="J36" s="16">
        <f>ROUND(G36/3000-1,2)</f>
        <v>-1</v>
      </c>
    </row>
    <row r="37" spans="1:10" x14ac:dyDescent="0.25">
      <c r="A37" s="1" t="s">
        <v>16</v>
      </c>
      <c r="B37" s="1" t="s">
        <v>146</v>
      </c>
      <c r="C37" s="11"/>
      <c r="D37" s="11"/>
      <c r="E37" s="11"/>
      <c r="F37" s="11"/>
      <c r="G37" s="11">
        <f t="shared" si="0"/>
        <v>0</v>
      </c>
      <c r="H37" s="17">
        <f t="shared" si="1"/>
        <v>0</v>
      </c>
      <c r="I37" s="16">
        <f t="shared" si="2"/>
        <v>0</v>
      </c>
      <c r="J37" s="16"/>
    </row>
    <row r="38" spans="1:10" x14ac:dyDescent="0.25">
      <c r="A38" s="1" t="s">
        <v>16</v>
      </c>
      <c r="B38" s="1" t="s">
        <v>121</v>
      </c>
      <c r="C38" s="11"/>
      <c r="D38" s="11"/>
      <c r="E38" s="11"/>
      <c r="F38" s="11"/>
      <c r="G38" s="11">
        <f t="shared" si="0"/>
        <v>0</v>
      </c>
      <c r="H38" s="17">
        <f t="shared" si="1"/>
        <v>0</v>
      </c>
      <c r="I38" s="16">
        <f t="shared" si="2"/>
        <v>0</v>
      </c>
      <c r="J38" s="16"/>
    </row>
    <row r="39" spans="1:10" x14ac:dyDescent="0.25">
      <c r="A39" s="1" t="s">
        <v>45</v>
      </c>
      <c r="B39" s="1" t="s">
        <v>46</v>
      </c>
      <c r="C39" s="11">
        <v>142420</v>
      </c>
      <c r="D39" s="11"/>
      <c r="E39" s="11"/>
      <c r="F39" s="11"/>
      <c r="G39" s="11">
        <f t="shared" si="0"/>
        <v>142420</v>
      </c>
      <c r="H39" s="17">
        <f t="shared" si="1"/>
        <v>70.709999999999994</v>
      </c>
      <c r="I39" s="16">
        <f t="shared" si="2"/>
        <v>0.16700000000000001</v>
      </c>
      <c r="J39" s="16">
        <f>ROUND(G39/158240-1,2)</f>
        <v>-0.1</v>
      </c>
    </row>
    <row r="40" spans="1:10" x14ac:dyDescent="0.25">
      <c r="A40" s="1" t="s">
        <v>45</v>
      </c>
      <c r="B40" s="1" t="s">
        <v>48</v>
      </c>
      <c r="C40" s="11"/>
      <c r="D40" s="11"/>
      <c r="E40" s="11"/>
      <c r="F40" s="11">
        <v>7300</v>
      </c>
      <c r="G40" s="11">
        <f t="shared" si="0"/>
        <v>7300</v>
      </c>
      <c r="H40" s="17">
        <f t="shared" si="1"/>
        <v>3.62</v>
      </c>
      <c r="I40" s="16">
        <f t="shared" si="2"/>
        <v>8.9999999999999993E-3</v>
      </c>
      <c r="J40" s="16">
        <f>ROUND(G40/6620-1,2)</f>
        <v>0.1</v>
      </c>
    </row>
    <row r="41" spans="1:10" x14ac:dyDescent="0.25">
      <c r="A41" s="1" t="s">
        <v>45</v>
      </c>
      <c r="B41" s="1" t="s">
        <v>47</v>
      </c>
      <c r="C41" s="11"/>
      <c r="D41" s="11"/>
      <c r="E41" s="11">
        <v>63000</v>
      </c>
      <c r="F41" s="11"/>
      <c r="G41" s="11">
        <f t="shared" si="0"/>
        <v>63000</v>
      </c>
      <c r="H41" s="17">
        <f t="shared" si="1"/>
        <v>31.28</v>
      </c>
      <c r="I41" s="16">
        <f t="shared" si="2"/>
        <v>7.3999999999999996E-2</v>
      </c>
      <c r="J41" s="16">
        <f>ROUND(G41/66610-1,2)</f>
        <v>-0.05</v>
      </c>
    </row>
    <row r="42" spans="1:10" x14ac:dyDescent="0.25">
      <c r="A42" s="1" t="s">
        <v>49</v>
      </c>
      <c r="B42" s="1" t="s">
        <v>52</v>
      </c>
      <c r="C42" s="11"/>
      <c r="D42" s="11"/>
      <c r="E42" s="11"/>
      <c r="F42" s="11"/>
      <c r="G42" s="11">
        <f t="shared" si="0"/>
        <v>0</v>
      </c>
      <c r="H42" s="17">
        <f t="shared" si="1"/>
        <v>0</v>
      </c>
      <c r="I42" s="16">
        <f t="shared" si="2"/>
        <v>0</v>
      </c>
      <c r="J42" s="16"/>
    </row>
    <row r="43" spans="1:10" x14ac:dyDescent="0.25">
      <c r="A43" s="1" t="s">
        <v>49</v>
      </c>
      <c r="B43" s="1" t="s">
        <v>51</v>
      </c>
      <c r="C43" s="11"/>
      <c r="D43" s="11"/>
      <c r="E43" s="11"/>
      <c r="F43" s="11"/>
      <c r="G43" s="11">
        <f t="shared" si="0"/>
        <v>0</v>
      </c>
      <c r="H43" s="17">
        <f t="shared" si="1"/>
        <v>0</v>
      </c>
      <c r="I43" s="16">
        <f t="shared" si="2"/>
        <v>0</v>
      </c>
      <c r="J43" s="16"/>
    </row>
    <row r="44" spans="1:10" x14ac:dyDescent="0.25">
      <c r="A44" s="26" t="s">
        <v>12</v>
      </c>
      <c r="B44" s="26"/>
      <c r="C44" s="12">
        <f t="shared" ref="C44:H44" si="3">SUM(C8:C43)</f>
        <v>509110</v>
      </c>
      <c r="D44" s="12">
        <f t="shared" si="3"/>
        <v>34</v>
      </c>
      <c r="E44" s="12">
        <f t="shared" si="3"/>
        <v>336418</v>
      </c>
      <c r="F44" s="12">
        <f t="shared" si="3"/>
        <v>7560</v>
      </c>
      <c r="G44" s="12">
        <f t="shared" si="3"/>
        <v>853122</v>
      </c>
      <c r="H44" s="15">
        <f t="shared" si="3"/>
        <v>423.58000000000004</v>
      </c>
      <c r="I44" s="18"/>
      <c r="J44" s="18"/>
    </row>
    <row r="45" spans="1:10" x14ac:dyDescent="0.25">
      <c r="A45" s="26" t="s">
        <v>14</v>
      </c>
      <c r="B45" s="26"/>
      <c r="C45" s="13">
        <f>ROUND(C44/G44,2)</f>
        <v>0.6</v>
      </c>
      <c r="D45" s="13">
        <f>ROUND(D44/G44,2)</f>
        <v>0</v>
      </c>
      <c r="E45" s="13">
        <f>ROUND(E44/G44,2)</f>
        <v>0.39</v>
      </c>
      <c r="F45" s="13">
        <f>ROUND(F44/G44,2)</f>
        <v>0.01</v>
      </c>
      <c r="G45" s="14"/>
      <c r="H45" s="14"/>
      <c r="I45" s="18"/>
      <c r="J45" s="18"/>
    </row>
    <row r="46" spans="1:10" x14ac:dyDescent="0.25">
      <c r="A46" s="2" t="s">
        <v>53</v>
      </c>
      <c r="B46" s="2"/>
      <c r="C46" s="14"/>
      <c r="D46" s="14"/>
      <c r="E46" s="14"/>
      <c r="F46" s="14"/>
      <c r="G46" s="14"/>
      <c r="H46" s="14"/>
      <c r="I46" s="18"/>
      <c r="J46" s="18"/>
    </row>
    <row r="47" spans="1:10" x14ac:dyDescent="0.25">
      <c r="C47" s="9"/>
      <c r="D47" s="9"/>
      <c r="E47" s="9"/>
      <c r="F47" s="9"/>
      <c r="G47" s="9"/>
      <c r="H47" s="9"/>
      <c r="I47" s="10"/>
      <c r="J47" s="10"/>
    </row>
    <row r="48" spans="1:10" x14ac:dyDescent="0.25">
      <c r="C48" s="9"/>
      <c r="D48" s="9"/>
      <c r="E48" s="9"/>
      <c r="F48" s="9"/>
      <c r="G48" s="9"/>
      <c r="H48" s="9"/>
      <c r="I48" s="10"/>
      <c r="J48" s="10"/>
    </row>
    <row r="49" spans="1:10" x14ac:dyDescent="0.25">
      <c r="C49" s="9"/>
      <c r="D49" s="9"/>
      <c r="E49" s="9"/>
      <c r="F49" s="9"/>
      <c r="G49" s="9"/>
      <c r="H49" s="9"/>
      <c r="I49" s="10"/>
      <c r="J49" s="10"/>
    </row>
    <row r="50" spans="1:10" x14ac:dyDescent="0.25">
      <c r="A50" s="26" t="s">
        <v>54</v>
      </c>
      <c r="B50" s="26"/>
      <c r="C50" s="12" t="s">
        <v>8</v>
      </c>
      <c r="D50" s="12" t="s">
        <v>9</v>
      </c>
      <c r="E50" s="12" t="s">
        <v>10</v>
      </c>
      <c r="F50" s="12" t="s">
        <v>11</v>
      </c>
      <c r="G50" s="12" t="s">
        <v>12</v>
      </c>
      <c r="H50" s="15" t="s">
        <v>13</v>
      </c>
      <c r="I50" s="18"/>
      <c r="J50" s="18"/>
    </row>
    <row r="51" spans="1:10" x14ac:dyDescent="0.25">
      <c r="A51" s="21" t="s">
        <v>55</v>
      </c>
      <c r="B51" s="21"/>
      <c r="C51" s="11">
        <v>366690</v>
      </c>
      <c r="D51" s="11">
        <v>34</v>
      </c>
      <c r="E51" s="11">
        <v>273418</v>
      </c>
      <c r="F51" s="11">
        <v>260</v>
      </c>
      <c r="G51" s="11">
        <f>SUM(C51:F51)</f>
        <v>640402</v>
      </c>
      <c r="H51" s="17">
        <f>ROUND(G51/2014,2)</f>
        <v>317.98</v>
      </c>
      <c r="I51" s="10"/>
      <c r="J51" s="10"/>
    </row>
    <row r="52" spans="1:10" x14ac:dyDescent="0.25">
      <c r="A52" s="21" t="s">
        <v>56</v>
      </c>
      <c r="B52" s="21"/>
      <c r="C52" s="11">
        <v>142420</v>
      </c>
      <c r="D52" s="11">
        <v>0</v>
      </c>
      <c r="E52" s="11">
        <v>63000</v>
      </c>
      <c r="F52" s="11">
        <v>7300</v>
      </c>
      <c r="G52" s="11">
        <f>SUM(C52:F52)</f>
        <v>212720</v>
      </c>
      <c r="H52" s="17">
        <f>ROUND(G52/2014,2)</f>
        <v>105.62</v>
      </c>
      <c r="I52" s="10"/>
      <c r="J52" s="10"/>
    </row>
    <row r="53" spans="1:10" x14ac:dyDescent="0.25">
      <c r="A53" s="21" t="s">
        <v>57</v>
      </c>
      <c r="B53" s="21"/>
      <c r="C53" s="11">
        <v>0</v>
      </c>
      <c r="D53" s="11">
        <v>0</v>
      </c>
      <c r="E53" s="11">
        <v>0</v>
      </c>
      <c r="F53" s="11">
        <v>0</v>
      </c>
      <c r="G53" s="11">
        <f>SUM(C53:F53)</f>
        <v>0</v>
      </c>
      <c r="H53" s="17">
        <f>ROUND(G53/2014,2)</f>
        <v>0</v>
      </c>
      <c r="I53" s="10"/>
      <c r="J53" s="10"/>
    </row>
    <row r="54" spans="1:10" x14ac:dyDescent="0.25">
      <c r="C54" s="9"/>
      <c r="D54" s="9"/>
      <c r="E54" s="9"/>
      <c r="F54" s="9"/>
      <c r="G54" s="9"/>
      <c r="H54" s="9"/>
      <c r="I54" s="10"/>
      <c r="J54" s="10"/>
    </row>
    <row r="55" spans="1:10" x14ac:dyDescent="0.25">
      <c r="C55" s="9"/>
      <c r="D55" s="9"/>
      <c r="E55" s="9"/>
      <c r="F55" s="9"/>
      <c r="G55" s="9"/>
      <c r="H55" s="9"/>
      <c r="I55" s="10"/>
      <c r="J55" s="10"/>
    </row>
    <row r="56" spans="1:10" x14ac:dyDescent="0.25">
      <c r="C56" s="9"/>
      <c r="D56" s="9"/>
      <c r="E56" s="9"/>
      <c r="F56" s="9"/>
      <c r="G56" s="9"/>
      <c r="H56" s="9"/>
      <c r="I56" s="10"/>
      <c r="J56" s="10"/>
    </row>
    <row r="57" spans="1:10" x14ac:dyDescent="0.25">
      <c r="C57" s="9"/>
      <c r="D57" s="9"/>
      <c r="E57" s="9"/>
      <c r="F57" s="9"/>
      <c r="G57" s="9"/>
      <c r="H57" s="9"/>
      <c r="I57" s="10"/>
      <c r="J57" s="10"/>
    </row>
    <row r="58" spans="1:10" x14ac:dyDescent="0.25">
      <c r="A58" s="26" t="s">
        <v>58</v>
      </c>
      <c r="B58" s="26"/>
      <c r="C58" s="15" t="s">
        <v>2</v>
      </c>
      <c r="D58" s="15">
        <v>2024</v>
      </c>
      <c r="E58" s="15" t="s">
        <v>60</v>
      </c>
      <c r="F58" s="14"/>
      <c r="G58" s="15" t="s">
        <v>61</v>
      </c>
      <c r="H58" s="15" t="s">
        <v>2</v>
      </c>
      <c r="I58" s="13" t="s">
        <v>62</v>
      </c>
      <c r="J58" s="13" t="s">
        <v>60</v>
      </c>
    </row>
    <row r="59" spans="1:10" x14ac:dyDescent="0.25">
      <c r="A59" s="21" t="s">
        <v>59</v>
      </c>
      <c r="B59" s="21"/>
      <c r="C59" s="16">
        <f>ROUND(0.8188, 4)</f>
        <v>0.81879999999999997</v>
      </c>
      <c r="D59" s="16">
        <f>ROUND(0.8011, 4)</f>
        <v>0.80110000000000003</v>
      </c>
      <c r="E59" s="16">
        <f>ROUND(0.7856, 4)</f>
        <v>0.78559999999999997</v>
      </c>
      <c r="F59" s="9"/>
      <c r="G59" s="15" t="s">
        <v>63</v>
      </c>
      <c r="H59" s="27" t="s">
        <v>64</v>
      </c>
      <c r="I59" s="24" t="s">
        <v>65</v>
      </c>
      <c r="J59" s="24" t="s">
        <v>66</v>
      </c>
    </row>
    <row r="60" spans="1:10" x14ac:dyDescent="0.25">
      <c r="A60" s="21" t="s">
        <v>67</v>
      </c>
      <c r="B60" s="21"/>
      <c r="C60" s="16">
        <f>ROUND(0.8188, 4)</f>
        <v>0.81879999999999997</v>
      </c>
      <c r="D60" s="16">
        <f>ROUND(0.79, 4)</f>
        <v>0.79</v>
      </c>
      <c r="E60" s="16">
        <f>ROUND(0.7702, 4)</f>
        <v>0.7702</v>
      </c>
      <c r="F60" s="9"/>
      <c r="G60" s="15" t="s">
        <v>68</v>
      </c>
      <c r="H60" s="28"/>
      <c r="I60" s="25"/>
      <c r="J60" s="25"/>
    </row>
    <row r="61" spans="1:10" x14ac:dyDescent="0.25">
      <c r="C61" s="9"/>
      <c r="D61" s="9"/>
      <c r="E61" s="9"/>
      <c r="F61" s="9"/>
      <c r="G61" s="9"/>
      <c r="H61" s="9"/>
      <c r="I61" s="10"/>
      <c r="J61" s="10"/>
    </row>
    <row r="62" spans="1:10" x14ac:dyDescent="0.25">
      <c r="C62" s="9"/>
      <c r="D62" s="9"/>
      <c r="E62" s="9"/>
      <c r="F62" s="9"/>
      <c r="G62" s="9"/>
      <c r="H62" s="9"/>
      <c r="I62" s="10"/>
      <c r="J62" s="10"/>
    </row>
    <row r="63" spans="1:10" x14ac:dyDescent="0.25">
      <c r="C63" s="9"/>
      <c r="D63" s="9"/>
      <c r="E63" s="9"/>
      <c r="F63" s="9"/>
      <c r="G63" s="9"/>
      <c r="H63" s="9"/>
      <c r="I63" s="10"/>
      <c r="J63" s="10"/>
    </row>
    <row r="64" spans="1:10" x14ac:dyDescent="0.25">
      <c r="A64" s="26" t="s">
        <v>69</v>
      </c>
      <c r="B64" s="26"/>
      <c r="C64" s="15" t="s">
        <v>2</v>
      </c>
      <c r="D64" s="15" t="s">
        <v>147</v>
      </c>
      <c r="E64" s="15" t="s">
        <v>71</v>
      </c>
      <c r="F64" s="15" t="s">
        <v>72</v>
      </c>
      <c r="G64" s="15" t="s">
        <v>73</v>
      </c>
      <c r="H64" s="14"/>
      <c r="I64" s="18"/>
      <c r="J64" s="18"/>
    </row>
    <row r="65" spans="1:10" x14ac:dyDescent="0.25">
      <c r="A65" s="21" t="s">
        <v>74</v>
      </c>
      <c r="B65" s="21"/>
      <c r="C65" s="17">
        <v>70.709999999999994</v>
      </c>
      <c r="D65" s="17">
        <v>75.459999999999994</v>
      </c>
      <c r="E65" s="17">
        <v>96.15</v>
      </c>
      <c r="F65" s="17">
        <v>57.94</v>
      </c>
      <c r="G65" s="17">
        <f>12/12*C65</f>
        <v>70.709999999999994</v>
      </c>
      <c r="H65" s="9"/>
      <c r="I65" s="10"/>
      <c r="J65" s="10"/>
    </row>
    <row r="66" spans="1:10" x14ac:dyDescent="0.25">
      <c r="A66" s="21" t="s">
        <v>75</v>
      </c>
      <c r="B66" s="21"/>
      <c r="C66" s="17">
        <v>69.22</v>
      </c>
      <c r="D66" s="17">
        <v>73.44</v>
      </c>
      <c r="E66" s="17">
        <v>62.28</v>
      </c>
      <c r="F66" s="17">
        <v>66.599999999999994</v>
      </c>
      <c r="G66" s="17">
        <f>12/12*C66</f>
        <v>69.22</v>
      </c>
      <c r="H66" s="9"/>
      <c r="I66" s="10"/>
      <c r="J66" s="10"/>
    </row>
    <row r="67" spans="1:10" x14ac:dyDescent="0.25">
      <c r="A67" s="21" t="s">
        <v>76</v>
      </c>
      <c r="B67" s="21"/>
      <c r="C67" s="17">
        <v>317.98</v>
      </c>
      <c r="D67" s="17">
        <v>317.13</v>
      </c>
      <c r="E67" s="17">
        <v>300.02</v>
      </c>
      <c r="F67" s="17">
        <v>295.08</v>
      </c>
      <c r="G67" s="17">
        <f>12/12*C67</f>
        <v>317.98</v>
      </c>
      <c r="H67" s="9"/>
      <c r="I67" s="10"/>
      <c r="J67" s="10"/>
    </row>
    <row r="68" spans="1:10" x14ac:dyDescent="0.25">
      <c r="A68" s="21" t="s">
        <v>77</v>
      </c>
      <c r="B68" s="21"/>
      <c r="C68" s="17">
        <v>105.62</v>
      </c>
      <c r="D68" s="17">
        <v>109</v>
      </c>
      <c r="E68" s="17">
        <v>120.96</v>
      </c>
      <c r="F68" s="17">
        <v>83.12</v>
      </c>
      <c r="G68" s="17">
        <f>12/12*C68</f>
        <v>105.62</v>
      </c>
      <c r="H68" s="9"/>
      <c r="I68" s="10"/>
      <c r="J68" s="10"/>
    </row>
    <row r="69" spans="1:10" x14ac:dyDescent="0.25">
      <c r="C69" s="9"/>
      <c r="D69" s="9"/>
      <c r="E69" s="9"/>
      <c r="F69" s="9"/>
      <c r="G69" s="9"/>
      <c r="H69" s="9"/>
      <c r="I69" s="10"/>
      <c r="J69" s="10"/>
    </row>
    <row r="71" spans="1:10" x14ac:dyDescent="0.25">
      <c r="A71" s="22" t="s">
        <v>61</v>
      </c>
      <c r="B71" s="23"/>
    </row>
    <row r="72" spans="1:10" x14ac:dyDescent="0.25">
      <c r="A72" s="3" t="s">
        <v>78</v>
      </c>
      <c r="B72" s="1" t="s">
        <v>148</v>
      </c>
    </row>
    <row r="73" spans="1:10" x14ac:dyDescent="0.25">
      <c r="A73" s="3" t="s">
        <v>71</v>
      </c>
      <c r="B73" s="1" t="s">
        <v>80</v>
      </c>
    </row>
    <row r="74" spans="1:10" x14ac:dyDescent="0.25">
      <c r="A74" s="3" t="s">
        <v>72</v>
      </c>
      <c r="B74" s="1" t="s">
        <v>81</v>
      </c>
    </row>
    <row r="75" spans="1:10" x14ac:dyDescent="0.25">
      <c r="A75" s="3" t="s">
        <v>73</v>
      </c>
      <c r="B75" s="1" t="s">
        <v>82</v>
      </c>
    </row>
  </sheetData>
  <mergeCells count="19">
    <mergeCell ref="C7:G7"/>
    <mergeCell ref="A44:B44"/>
    <mergeCell ref="A45:B45"/>
    <mergeCell ref="A50:B50"/>
    <mergeCell ref="A51:B51"/>
    <mergeCell ref="J59:J60"/>
    <mergeCell ref="A60:B60"/>
    <mergeCell ref="A64:B64"/>
    <mergeCell ref="A65:B65"/>
    <mergeCell ref="A52:B52"/>
    <mergeCell ref="A53:B53"/>
    <mergeCell ref="A58:B58"/>
    <mergeCell ref="A59:B59"/>
    <mergeCell ref="H59:H60"/>
    <mergeCell ref="A66:B66"/>
    <mergeCell ref="A67:B67"/>
    <mergeCell ref="A68:B68"/>
    <mergeCell ref="A71:B71"/>
    <mergeCell ref="I59:I60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J69"/>
  <sheetViews>
    <sheetView workbookViewId="0">
      <selection activeCell="H5" sqref="H5"/>
    </sheetView>
  </sheetViews>
  <sheetFormatPr defaultRowHeight="15" x14ac:dyDescent="0.25"/>
  <cols>
    <col min="1" max="1" width="28.42578125" bestFit="1" customWidth="1"/>
    <col min="2" max="2" width="59.5703125" bestFit="1" customWidth="1"/>
    <col min="3" max="3" width="12.7109375" bestFit="1" customWidth="1"/>
    <col min="4" max="4" width="23.28515625" bestFit="1" customWidth="1"/>
    <col min="5" max="5" width="13.85546875" bestFit="1" customWidth="1"/>
    <col min="6" max="6" width="8.5703125" bestFit="1" customWidth="1"/>
    <col min="7" max="7" width="47.7109375" bestFit="1" customWidth="1"/>
    <col min="8" max="9" width="16.7109375" bestFit="1" customWidth="1"/>
    <col min="10" max="10" width="24.42578125" bestFit="1" customWidth="1"/>
  </cols>
  <sheetData>
    <row r="2" spans="1:10" ht="18.75" x14ac:dyDescent="0.3">
      <c r="A2" s="3" t="s">
        <v>0</v>
      </c>
      <c r="B2" s="4" t="s">
        <v>149</v>
      </c>
    </row>
    <row r="3" spans="1:10" x14ac:dyDescent="0.25">
      <c r="A3" s="3" t="s">
        <v>2</v>
      </c>
      <c r="B3" s="1" t="s">
        <v>3</v>
      </c>
    </row>
    <row r="4" spans="1:10" x14ac:dyDescent="0.25">
      <c r="A4" s="3" t="s">
        <v>4</v>
      </c>
      <c r="B4" s="20">
        <v>2233</v>
      </c>
    </row>
    <row r="7" spans="1:10" x14ac:dyDescent="0.25">
      <c r="C7" s="22" t="s">
        <v>5</v>
      </c>
      <c r="D7" s="21"/>
      <c r="E7" s="21"/>
      <c r="F7" s="21"/>
      <c r="G7" s="21"/>
    </row>
    <row r="8" spans="1:10" x14ac:dyDescent="0.25">
      <c r="A8" s="3" t="s">
        <v>6</v>
      </c>
      <c r="B8" s="3" t="s">
        <v>7</v>
      </c>
      <c r="C8" s="15" t="s">
        <v>8</v>
      </c>
      <c r="D8" s="15" t="s">
        <v>9</v>
      </c>
      <c r="E8" s="15" t="s">
        <v>10</v>
      </c>
      <c r="F8" s="15" t="s">
        <v>11</v>
      </c>
      <c r="G8" s="15" t="s">
        <v>12</v>
      </c>
      <c r="H8" s="15" t="s">
        <v>13</v>
      </c>
      <c r="I8" s="15" t="s">
        <v>14</v>
      </c>
      <c r="J8" s="15" t="s">
        <v>15</v>
      </c>
    </row>
    <row r="9" spans="1:10" x14ac:dyDescent="0.25">
      <c r="A9" s="1" t="s">
        <v>16</v>
      </c>
      <c r="B9" s="1" t="s">
        <v>17</v>
      </c>
      <c r="C9" s="11"/>
      <c r="D9" s="11"/>
      <c r="E9" s="11">
        <v>47</v>
      </c>
      <c r="F9" s="11"/>
      <c r="G9" s="11">
        <f t="shared" ref="G9:G37" si="0">SUM(C9:F9)</f>
        <v>47</v>
      </c>
      <c r="H9" s="17">
        <f t="shared" ref="H9:H37" si="1">ROUND(G9/2233,2)</f>
        <v>0.02</v>
      </c>
      <c r="I9" s="16">
        <f t="shared" ref="I9:I37" si="2">ROUND(G9/$G$38,3)</f>
        <v>0</v>
      </c>
      <c r="J9" s="16">
        <f>ROUND(G9/25-1,2)</f>
        <v>0.88</v>
      </c>
    </row>
    <row r="10" spans="1:10" x14ac:dyDescent="0.25">
      <c r="A10" s="1" t="s">
        <v>16</v>
      </c>
      <c r="B10" s="1" t="s">
        <v>19</v>
      </c>
      <c r="C10" s="11">
        <v>75410</v>
      </c>
      <c r="D10" s="11"/>
      <c r="E10" s="11"/>
      <c r="F10" s="11"/>
      <c r="G10" s="11">
        <f t="shared" si="0"/>
        <v>75410</v>
      </c>
      <c r="H10" s="17">
        <f t="shared" si="1"/>
        <v>33.770000000000003</v>
      </c>
      <c r="I10" s="16">
        <f t="shared" si="2"/>
        <v>7.0999999999999994E-2</v>
      </c>
      <c r="J10" s="16">
        <f>ROUND(G10/74320-1,2)</f>
        <v>0.01</v>
      </c>
    </row>
    <row r="11" spans="1:10" x14ac:dyDescent="0.25">
      <c r="A11" s="1" t="s">
        <v>16</v>
      </c>
      <c r="B11" s="1" t="s">
        <v>20</v>
      </c>
      <c r="C11" s="11">
        <v>77890</v>
      </c>
      <c r="D11" s="11"/>
      <c r="E11" s="11"/>
      <c r="F11" s="11">
        <v>1110</v>
      </c>
      <c r="G11" s="11">
        <f t="shared" si="0"/>
        <v>79000</v>
      </c>
      <c r="H11" s="17">
        <f t="shared" si="1"/>
        <v>35.380000000000003</v>
      </c>
      <c r="I11" s="16">
        <f t="shared" si="2"/>
        <v>7.3999999999999996E-2</v>
      </c>
      <c r="J11" s="16">
        <f>ROUND(G11/89980-1,2)</f>
        <v>-0.12</v>
      </c>
    </row>
    <row r="12" spans="1:10" x14ac:dyDescent="0.25">
      <c r="A12" s="1" t="s">
        <v>16</v>
      </c>
      <c r="B12" s="1" t="s">
        <v>22</v>
      </c>
      <c r="C12" s="11"/>
      <c r="D12" s="11"/>
      <c r="E12" s="11">
        <v>2600</v>
      </c>
      <c r="F12" s="11"/>
      <c r="G12" s="11">
        <f t="shared" si="0"/>
        <v>2600</v>
      </c>
      <c r="H12" s="17">
        <f t="shared" si="1"/>
        <v>1.1599999999999999</v>
      </c>
      <c r="I12" s="16">
        <f t="shared" si="2"/>
        <v>2E-3</v>
      </c>
      <c r="J12" s="16">
        <f>ROUND(G12/1620-1,2)</f>
        <v>0.6</v>
      </c>
    </row>
    <row r="13" spans="1:10" x14ac:dyDescent="0.25">
      <c r="A13" s="1" t="s">
        <v>16</v>
      </c>
      <c r="B13" s="1" t="s">
        <v>23</v>
      </c>
      <c r="C13" s="11"/>
      <c r="D13" s="11"/>
      <c r="E13" s="11">
        <v>90600</v>
      </c>
      <c r="F13" s="11"/>
      <c r="G13" s="11">
        <f t="shared" si="0"/>
        <v>90600</v>
      </c>
      <c r="H13" s="17">
        <f t="shared" si="1"/>
        <v>40.57</v>
      </c>
      <c r="I13" s="16">
        <f t="shared" si="2"/>
        <v>8.5000000000000006E-2</v>
      </c>
      <c r="J13" s="16">
        <f>ROUND(G13/99860-1,2)</f>
        <v>-0.09</v>
      </c>
    </row>
    <row r="14" spans="1:10" x14ac:dyDescent="0.25">
      <c r="A14" s="1" t="s">
        <v>16</v>
      </c>
      <c r="B14" s="1" t="s">
        <v>24</v>
      </c>
      <c r="C14" s="11">
        <v>107490</v>
      </c>
      <c r="D14" s="11"/>
      <c r="E14" s="11">
        <v>9560</v>
      </c>
      <c r="F14" s="11"/>
      <c r="G14" s="11">
        <f t="shared" si="0"/>
        <v>117050</v>
      </c>
      <c r="H14" s="17">
        <f t="shared" si="1"/>
        <v>52.42</v>
      </c>
      <c r="I14" s="16">
        <f t="shared" si="2"/>
        <v>0.11</v>
      </c>
      <c r="J14" s="16">
        <f>ROUND(G14/117360-1,2)</f>
        <v>0</v>
      </c>
    </row>
    <row r="15" spans="1:10" x14ac:dyDescent="0.25">
      <c r="A15" s="1" t="s">
        <v>16</v>
      </c>
      <c r="B15" s="1" t="s">
        <v>25</v>
      </c>
      <c r="C15" s="11"/>
      <c r="D15" s="11"/>
      <c r="E15" s="11">
        <v>4520</v>
      </c>
      <c r="F15" s="11"/>
      <c r="G15" s="11">
        <f t="shared" si="0"/>
        <v>4520</v>
      </c>
      <c r="H15" s="17">
        <f t="shared" si="1"/>
        <v>2.02</v>
      </c>
      <c r="I15" s="16">
        <f t="shared" si="2"/>
        <v>4.0000000000000001E-3</v>
      </c>
      <c r="J15" s="16">
        <f>ROUND(G15/6845-1,2)</f>
        <v>-0.34</v>
      </c>
    </row>
    <row r="16" spans="1:10" x14ac:dyDescent="0.25">
      <c r="A16" s="1" t="s">
        <v>16</v>
      </c>
      <c r="B16" s="1" t="s">
        <v>26</v>
      </c>
      <c r="C16" s="11">
        <v>183980</v>
      </c>
      <c r="D16" s="11"/>
      <c r="E16" s="11"/>
      <c r="F16" s="11"/>
      <c r="G16" s="11">
        <f t="shared" si="0"/>
        <v>183980</v>
      </c>
      <c r="H16" s="17">
        <f t="shared" si="1"/>
        <v>82.39</v>
      </c>
      <c r="I16" s="16">
        <f t="shared" si="2"/>
        <v>0.17199999999999999</v>
      </c>
      <c r="J16" s="16">
        <f>ROUND(G16/175910-1,2)</f>
        <v>0.05</v>
      </c>
    </row>
    <row r="17" spans="1:10" x14ac:dyDescent="0.25">
      <c r="A17" s="1" t="s">
        <v>16</v>
      </c>
      <c r="B17" s="1" t="s">
        <v>27</v>
      </c>
      <c r="C17" s="11"/>
      <c r="D17" s="11"/>
      <c r="E17" s="11">
        <v>580</v>
      </c>
      <c r="F17" s="11"/>
      <c r="G17" s="11">
        <f t="shared" si="0"/>
        <v>580</v>
      </c>
      <c r="H17" s="17">
        <f t="shared" si="1"/>
        <v>0.26</v>
      </c>
      <c r="I17" s="16">
        <f t="shared" si="2"/>
        <v>1E-3</v>
      </c>
      <c r="J17" s="16">
        <f>ROUND(G17/225-1,2)</f>
        <v>1.58</v>
      </c>
    </row>
    <row r="18" spans="1:10" x14ac:dyDescent="0.25">
      <c r="A18" s="1" t="s">
        <v>16</v>
      </c>
      <c r="B18" s="1" t="s">
        <v>28</v>
      </c>
      <c r="C18" s="11"/>
      <c r="D18" s="11"/>
      <c r="E18" s="11">
        <v>582</v>
      </c>
      <c r="F18" s="11"/>
      <c r="G18" s="11">
        <f t="shared" si="0"/>
        <v>582</v>
      </c>
      <c r="H18" s="17">
        <f t="shared" si="1"/>
        <v>0.26</v>
      </c>
      <c r="I18" s="16">
        <f t="shared" si="2"/>
        <v>1E-3</v>
      </c>
      <c r="J18" s="16">
        <f>ROUND(G18/172-1,2)</f>
        <v>2.38</v>
      </c>
    </row>
    <row r="19" spans="1:10" x14ac:dyDescent="0.25">
      <c r="A19" s="1" t="s">
        <v>16</v>
      </c>
      <c r="B19" s="1" t="s">
        <v>29</v>
      </c>
      <c r="C19" s="11"/>
      <c r="D19" s="11"/>
      <c r="E19" s="11">
        <v>18</v>
      </c>
      <c r="F19" s="11"/>
      <c r="G19" s="11">
        <f t="shared" si="0"/>
        <v>18</v>
      </c>
      <c r="H19" s="17">
        <f t="shared" si="1"/>
        <v>0.01</v>
      </c>
      <c r="I19" s="16">
        <f t="shared" si="2"/>
        <v>0</v>
      </c>
      <c r="J19" s="16">
        <f>ROUND(G19/313-1,2)</f>
        <v>-0.94</v>
      </c>
    </row>
    <row r="20" spans="1:10" x14ac:dyDescent="0.25">
      <c r="A20" s="1" t="s">
        <v>16</v>
      </c>
      <c r="B20" s="1" t="s">
        <v>30</v>
      </c>
      <c r="C20" s="11"/>
      <c r="D20" s="11"/>
      <c r="E20" s="11">
        <v>2790</v>
      </c>
      <c r="F20" s="11"/>
      <c r="G20" s="11">
        <f t="shared" si="0"/>
        <v>2790</v>
      </c>
      <c r="H20" s="17">
        <f t="shared" si="1"/>
        <v>1.25</v>
      </c>
      <c r="I20" s="16">
        <f t="shared" si="2"/>
        <v>3.0000000000000001E-3</v>
      </c>
      <c r="J20" s="16">
        <f>ROUND(G20/4030-1,2)</f>
        <v>-0.31</v>
      </c>
    </row>
    <row r="21" spans="1:10" x14ac:dyDescent="0.25">
      <c r="A21" s="1" t="s">
        <v>16</v>
      </c>
      <c r="B21" s="1" t="s">
        <v>31</v>
      </c>
      <c r="C21" s="11"/>
      <c r="D21" s="11"/>
      <c r="E21" s="11">
        <v>490</v>
      </c>
      <c r="F21" s="11"/>
      <c r="G21" s="11">
        <f t="shared" si="0"/>
        <v>490</v>
      </c>
      <c r="H21" s="17">
        <f t="shared" si="1"/>
        <v>0.22</v>
      </c>
      <c r="I21" s="16">
        <f t="shared" si="2"/>
        <v>0</v>
      </c>
      <c r="J21" s="16">
        <f>ROUND(G21/640-1,2)</f>
        <v>-0.23</v>
      </c>
    </row>
    <row r="22" spans="1:10" x14ac:dyDescent="0.25">
      <c r="A22" s="1" t="s">
        <v>16</v>
      </c>
      <c r="B22" s="1" t="s">
        <v>32</v>
      </c>
      <c r="C22" s="11"/>
      <c r="D22" s="11"/>
      <c r="E22" s="11">
        <v>790</v>
      </c>
      <c r="F22" s="11"/>
      <c r="G22" s="11">
        <f t="shared" si="0"/>
        <v>790</v>
      </c>
      <c r="H22" s="17">
        <f t="shared" si="1"/>
        <v>0.35</v>
      </c>
      <c r="I22" s="16">
        <f t="shared" si="2"/>
        <v>1E-3</v>
      </c>
      <c r="J22" s="16">
        <f>ROUND(G22/660-1,2)</f>
        <v>0.2</v>
      </c>
    </row>
    <row r="23" spans="1:10" x14ac:dyDescent="0.25">
      <c r="A23" s="1" t="s">
        <v>16</v>
      </c>
      <c r="B23" s="1" t="s">
        <v>34</v>
      </c>
      <c r="C23" s="11"/>
      <c r="D23" s="11">
        <v>57</v>
      </c>
      <c r="E23" s="11">
        <v>154</v>
      </c>
      <c r="F23" s="11"/>
      <c r="G23" s="11">
        <f t="shared" si="0"/>
        <v>211</v>
      </c>
      <c r="H23" s="17">
        <f t="shared" si="1"/>
        <v>0.09</v>
      </c>
      <c r="I23" s="16">
        <f t="shared" si="2"/>
        <v>0</v>
      </c>
      <c r="J23" s="16">
        <f>ROUND(G23/207-1,2)</f>
        <v>0.02</v>
      </c>
    </row>
    <row r="24" spans="1:10" x14ac:dyDescent="0.25">
      <c r="A24" s="1" t="s">
        <v>16</v>
      </c>
      <c r="B24" s="1" t="s">
        <v>35</v>
      </c>
      <c r="C24" s="11"/>
      <c r="D24" s="11"/>
      <c r="E24" s="11">
        <v>440</v>
      </c>
      <c r="F24" s="11"/>
      <c r="G24" s="11">
        <f t="shared" si="0"/>
        <v>440</v>
      </c>
      <c r="H24" s="17">
        <f t="shared" si="1"/>
        <v>0.2</v>
      </c>
      <c r="I24" s="16">
        <f t="shared" si="2"/>
        <v>0</v>
      </c>
      <c r="J24" s="16">
        <f>ROUND(G24/210-1,2)</f>
        <v>1.1000000000000001</v>
      </c>
    </row>
    <row r="25" spans="1:10" x14ac:dyDescent="0.25">
      <c r="A25" s="1" t="s">
        <v>16</v>
      </c>
      <c r="B25" s="1" t="s">
        <v>36</v>
      </c>
      <c r="C25" s="11"/>
      <c r="D25" s="11"/>
      <c r="E25" s="11">
        <v>310</v>
      </c>
      <c r="F25" s="11"/>
      <c r="G25" s="11">
        <f t="shared" si="0"/>
        <v>310</v>
      </c>
      <c r="H25" s="17">
        <f t="shared" si="1"/>
        <v>0.14000000000000001</v>
      </c>
      <c r="I25" s="16">
        <f t="shared" si="2"/>
        <v>0</v>
      </c>
      <c r="J25" s="16">
        <f>ROUND(G25/371-1,2)</f>
        <v>-0.16</v>
      </c>
    </row>
    <row r="26" spans="1:10" x14ac:dyDescent="0.25">
      <c r="A26" s="1" t="s">
        <v>16</v>
      </c>
      <c r="B26" s="1" t="s">
        <v>37</v>
      </c>
      <c r="C26" s="11"/>
      <c r="D26" s="11"/>
      <c r="E26" s="11">
        <v>3652</v>
      </c>
      <c r="F26" s="11"/>
      <c r="G26" s="11">
        <f t="shared" si="0"/>
        <v>3652</v>
      </c>
      <c r="H26" s="17">
        <f t="shared" si="1"/>
        <v>1.64</v>
      </c>
      <c r="I26" s="16">
        <f t="shared" si="2"/>
        <v>3.0000000000000001E-3</v>
      </c>
      <c r="J26" s="16">
        <f>ROUND(G26/3088-1,2)</f>
        <v>0.18</v>
      </c>
    </row>
    <row r="27" spans="1:10" x14ac:dyDescent="0.25">
      <c r="A27" s="1" t="s">
        <v>16</v>
      </c>
      <c r="B27" s="1" t="s">
        <v>39</v>
      </c>
      <c r="C27" s="11"/>
      <c r="D27" s="11"/>
      <c r="E27" s="11">
        <v>7717</v>
      </c>
      <c r="F27" s="11"/>
      <c r="G27" s="11">
        <f t="shared" si="0"/>
        <v>7717</v>
      </c>
      <c r="H27" s="17">
        <f t="shared" si="1"/>
        <v>3.46</v>
      </c>
      <c r="I27" s="16">
        <f t="shared" si="2"/>
        <v>7.0000000000000001E-3</v>
      </c>
      <c r="J27" s="16">
        <f>ROUND(G27/7557-1,2)</f>
        <v>0.02</v>
      </c>
    </row>
    <row r="28" spans="1:10" x14ac:dyDescent="0.25">
      <c r="A28" s="1" t="s">
        <v>16</v>
      </c>
      <c r="B28" s="1" t="s">
        <v>38</v>
      </c>
      <c r="C28" s="11"/>
      <c r="D28" s="11"/>
      <c r="E28" s="11">
        <v>5400</v>
      </c>
      <c r="F28" s="11"/>
      <c r="G28" s="11">
        <f t="shared" si="0"/>
        <v>5400</v>
      </c>
      <c r="H28" s="17">
        <f t="shared" si="1"/>
        <v>2.42</v>
      </c>
      <c r="I28" s="16">
        <f t="shared" si="2"/>
        <v>5.0000000000000001E-3</v>
      </c>
      <c r="J28" s="16">
        <f>ROUND(G28/5970-1,2)</f>
        <v>-0.1</v>
      </c>
    </row>
    <row r="29" spans="1:10" x14ac:dyDescent="0.25">
      <c r="A29" s="1" t="s">
        <v>16</v>
      </c>
      <c r="B29" s="1" t="s">
        <v>40</v>
      </c>
      <c r="C29" s="11"/>
      <c r="D29" s="11"/>
      <c r="E29" s="11">
        <v>68605</v>
      </c>
      <c r="F29" s="11"/>
      <c r="G29" s="11">
        <f t="shared" si="0"/>
        <v>68605</v>
      </c>
      <c r="H29" s="17">
        <f t="shared" si="1"/>
        <v>30.72</v>
      </c>
      <c r="I29" s="16">
        <f t="shared" si="2"/>
        <v>6.4000000000000001E-2</v>
      </c>
      <c r="J29" s="16">
        <f>ROUND(G29/79780-1,2)</f>
        <v>-0.14000000000000001</v>
      </c>
    </row>
    <row r="30" spans="1:10" x14ac:dyDescent="0.25">
      <c r="A30" s="1" t="s">
        <v>16</v>
      </c>
      <c r="B30" s="1" t="s">
        <v>42</v>
      </c>
      <c r="C30" s="11"/>
      <c r="D30" s="11"/>
      <c r="E30" s="11">
        <v>24320</v>
      </c>
      <c r="F30" s="11"/>
      <c r="G30" s="11">
        <f t="shared" si="0"/>
        <v>24320</v>
      </c>
      <c r="H30" s="17">
        <f t="shared" si="1"/>
        <v>10.89</v>
      </c>
      <c r="I30" s="16">
        <f t="shared" si="2"/>
        <v>2.3E-2</v>
      </c>
      <c r="J30" s="16">
        <f>ROUND(G30/22970-1,2)</f>
        <v>0.06</v>
      </c>
    </row>
    <row r="31" spans="1:10" x14ac:dyDescent="0.25">
      <c r="A31" s="1" t="s">
        <v>16</v>
      </c>
      <c r="B31" s="1" t="s">
        <v>44</v>
      </c>
      <c r="C31" s="11"/>
      <c r="D31" s="11"/>
      <c r="E31" s="11">
        <v>124660</v>
      </c>
      <c r="F31" s="11"/>
      <c r="G31" s="11">
        <f t="shared" si="0"/>
        <v>124660</v>
      </c>
      <c r="H31" s="17">
        <f t="shared" si="1"/>
        <v>55.83</v>
      </c>
      <c r="I31" s="16">
        <f t="shared" si="2"/>
        <v>0.11700000000000001</v>
      </c>
      <c r="J31" s="16">
        <f>ROUND(G31/143550-1,2)</f>
        <v>-0.13</v>
      </c>
    </row>
    <row r="32" spans="1:10" x14ac:dyDescent="0.25">
      <c r="A32" s="1" t="s">
        <v>16</v>
      </c>
      <c r="B32" s="1" t="s">
        <v>96</v>
      </c>
      <c r="C32" s="11"/>
      <c r="D32" s="11"/>
      <c r="E32" s="11"/>
      <c r="F32" s="11"/>
      <c r="G32" s="11">
        <f t="shared" si="0"/>
        <v>0</v>
      </c>
      <c r="H32" s="17">
        <f t="shared" si="1"/>
        <v>0</v>
      </c>
      <c r="I32" s="16">
        <f t="shared" si="2"/>
        <v>0</v>
      </c>
      <c r="J32" s="16">
        <f>ROUND(G32/340-1,2)</f>
        <v>-1</v>
      </c>
    </row>
    <row r="33" spans="1:10" x14ac:dyDescent="0.25">
      <c r="A33" s="1" t="s">
        <v>45</v>
      </c>
      <c r="B33" s="1" t="s">
        <v>46</v>
      </c>
      <c r="C33" s="11">
        <v>176260</v>
      </c>
      <c r="D33" s="11"/>
      <c r="E33" s="11"/>
      <c r="F33" s="11"/>
      <c r="G33" s="11">
        <f t="shared" si="0"/>
        <v>176260</v>
      </c>
      <c r="H33" s="17">
        <f t="shared" si="1"/>
        <v>78.930000000000007</v>
      </c>
      <c r="I33" s="16">
        <f t="shared" si="2"/>
        <v>0.16500000000000001</v>
      </c>
      <c r="J33" s="16">
        <f>ROUND(G33/176140-1,2)</f>
        <v>0</v>
      </c>
    </row>
    <row r="34" spans="1:10" x14ac:dyDescent="0.25">
      <c r="A34" s="1" t="s">
        <v>45</v>
      </c>
      <c r="B34" s="1" t="s">
        <v>48</v>
      </c>
      <c r="C34" s="11"/>
      <c r="D34" s="11"/>
      <c r="E34" s="11"/>
      <c r="F34" s="11">
        <v>28090</v>
      </c>
      <c r="G34" s="11">
        <f t="shared" si="0"/>
        <v>28090</v>
      </c>
      <c r="H34" s="17">
        <f t="shared" si="1"/>
        <v>12.58</v>
      </c>
      <c r="I34" s="16">
        <f t="shared" si="2"/>
        <v>2.5999999999999999E-2</v>
      </c>
      <c r="J34" s="16">
        <f>ROUND(G34/20220-1,2)</f>
        <v>0.39</v>
      </c>
    </row>
    <row r="35" spans="1:10" x14ac:dyDescent="0.25">
      <c r="A35" s="1" t="s">
        <v>45</v>
      </c>
      <c r="B35" s="1" t="s">
        <v>47</v>
      </c>
      <c r="C35" s="11"/>
      <c r="D35" s="11"/>
      <c r="E35" s="11">
        <v>68460</v>
      </c>
      <c r="F35" s="11"/>
      <c r="G35" s="11">
        <f t="shared" si="0"/>
        <v>68460</v>
      </c>
      <c r="H35" s="17">
        <f t="shared" si="1"/>
        <v>30.66</v>
      </c>
      <c r="I35" s="16">
        <f t="shared" si="2"/>
        <v>6.4000000000000001E-2</v>
      </c>
      <c r="J35" s="16">
        <f>ROUND(G35/70620-1,2)</f>
        <v>-0.03</v>
      </c>
    </row>
    <row r="36" spans="1:10" x14ac:dyDescent="0.25">
      <c r="A36" s="1" t="s">
        <v>49</v>
      </c>
      <c r="B36" s="1" t="s">
        <v>51</v>
      </c>
      <c r="C36" s="11"/>
      <c r="D36" s="11"/>
      <c r="E36" s="11"/>
      <c r="F36" s="11"/>
      <c r="G36" s="11">
        <f t="shared" si="0"/>
        <v>0</v>
      </c>
      <c r="H36" s="17">
        <f t="shared" si="1"/>
        <v>0</v>
      </c>
      <c r="I36" s="16">
        <f t="shared" si="2"/>
        <v>0</v>
      </c>
      <c r="J36" s="16"/>
    </row>
    <row r="37" spans="1:10" x14ac:dyDescent="0.25">
      <c r="A37" s="1" t="s">
        <v>49</v>
      </c>
      <c r="B37" s="1" t="s">
        <v>52</v>
      </c>
      <c r="C37" s="11"/>
      <c r="D37" s="11"/>
      <c r="E37" s="11"/>
      <c r="F37" s="11"/>
      <c r="G37" s="11">
        <f t="shared" si="0"/>
        <v>0</v>
      </c>
      <c r="H37" s="17">
        <f t="shared" si="1"/>
        <v>0</v>
      </c>
      <c r="I37" s="16">
        <f t="shared" si="2"/>
        <v>0</v>
      </c>
      <c r="J37" s="16"/>
    </row>
    <row r="38" spans="1:10" x14ac:dyDescent="0.25">
      <c r="A38" s="26" t="s">
        <v>12</v>
      </c>
      <c r="B38" s="26"/>
      <c r="C38" s="12">
        <f t="shared" ref="C38:H38" si="3">SUM(C8:C37)</f>
        <v>621030</v>
      </c>
      <c r="D38" s="12">
        <f t="shared" si="3"/>
        <v>57</v>
      </c>
      <c r="E38" s="12">
        <f t="shared" si="3"/>
        <v>416295</v>
      </c>
      <c r="F38" s="12">
        <f t="shared" si="3"/>
        <v>29200</v>
      </c>
      <c r="G38" s="12">
        <f t="shared" si="3"/>
        <v>1066582</v>
      </c>
      <c r="H38" s="15">
        <f t="shared" si="3"/>
        <v>477.64</v>
      </c>
      <c r="I38" s="18"/>
      <c r="J38" s="18"/>
    </row>
    <row r="39" spans="1:10" x14ac:dyDescent="0.25">
      <c r="A39" s="26" t="s">
        <v>14</v>
      </c>
      <c r="B39" s="26"/>
      <c r="C39" s="13">
        <f>ROUND(C38/G38,2)</f>
        <v>0.57999999999999996</v>
      </c>
      <c r="D39" s="13">
        <f>ROUND(D38/G38,2)</f>
        <v>0</v>
      </c>
      <c r="E39" s="13">
        <f>ROUND(E38/G38,2)</f>
        <v>0.39</v>
      </c>
      <c r="F39" s="13">
        <f>ROUND(F38/G38,2)</f>
        <v>0.03</v>
      </c>
      <c r="G39" s="14"/>
      <c r="H39" s="14"/>
      <c r="I39" s="18"/>
      <c r="J39" s="18"/>
    </row>
    <row r="40" spans="1:10" x14ac:dyDescent="0.25">
      <c r="A40" s="2" t="s">
        <v>53</v>
      </c>
      <c r="B40" s="2"/>
      <c r="C40" s="14"/>
      <c r="D40" s="14"/>
      <c r="E40" s="14"/>
      <c r="F40" s="14"/>
      <c r="G40" s="14"/>
      <c r="H40" s="14"/>
      <c r="I40" s="18"/>
      <c r="J40" s="18"/>
    </row>
    <row r="41" spans="1:10" x14ac:dyDescent="0.25">
      <c r="C41" s="9"/>
      <c r="D41" s="9"/>
      <c r="E41" s="9"/>
      <c r="F41" s="9"/>
      <c r="G41" s="9"/>
      <c r="H41" s="9"/>
      <c r="I41" s="10"/>
      <c r="J41" s="10"/>
    </row>
    <row r="42" spans="1:10" x14ac:dyDescent="0.25">
      <c r="C42" s="9"/>
      <c r="D42" s="9"/>
      <c r="E42" s="9"/>
      <c r="F42" s="9"/>
      <c r="G42" s="9"/>
      <c r="H42" s="9"/>
      <c r="I42" s="10"/>
      <c r="J42" s="10"/>
    </row>
    <row r="43" spans="1:10" x14ac:dyDescent="0.25">
      <c r="C43" s="9"/>
      <c r="D43" s="9"/>
      <c r="E43" s="9"/>
      <c r="F43" s="9"/>
      <c r="G43" s="9"/>
      <c r="H43" s="9"/>
      <c r="I43" s="10"/>
      <c r="J43" s="10"/>
    </row>
    <row r="44" spans="1:10" x14ac:dyDescent="0.25">
      <c r="A44" s="26" t="s">
        <v>54</v>
      </c>
      <c r="B44" s="26"/>
      <c r="C44" s="12" t="s">
        <v>8</v>
      </c>
      <c r="D44" s="12" t="s">
        <v>9</v>
      </c>
      <c r="E44" s="12" t="s">
        <v>10</v>
      </c>
      <c r="F44" s="12" t="s">
        <v>11</v>
      </c>
      <c r="G44" s="12" t="s">
        <v>12</v>
      </c>
      <c r="H44" s="15" t="s">
        <v>13</v>
      </c>
      <c r="I44" s="18"/>
      <c r="J44" s="18"/>
    </row>
    <row r="45" spans="1:10" x14ac:dyDescent="0.25">
      <c r="A45" s="21" t="s">
        <v>55</v>
      </c>
      <c r="B45" s="21"/>
      <c r="C45" s="11">
        <v>444770</v>
      </c>
      <c r="D45" s="11">
        <v>57</v>
      </c>
      <c r="E45" s="11">
        <v>347835</v>
      </c>
      <c r="F45" s="11">
        <v>1110</v>
      </c>
      <c r="G45" s="11">
        <f>SUM(C45:F45)</f>
        <v>793772</v>
      </c>
      <c r="H45" s="17">
        <f>ROUND(G45/2233,2)</f>
        <v>355.47</v>
      </c>
      <c r="I45" s="10"/>
      <c r="J45" s="10"/>
    </row>
    <row r="46" spans="1:10" x14ac:dyDescent="0.25">
      <c r="A46" s="21" t="s">
        <v>56</v>
      </c>
      <c r="B46" s="21"/>
      <c r="C46" s="11">
        <v>176260</v>
      </c>
      <c r="D46" s="11">
        <v>0</v>
      </c>
      <c r="E46" s="11">
        <v>68460</v>
      </c>
      <c r="F46" s="11">
        <v>28090</v>
      </c>
      <c r="G46" s="11">
        <f>SUM(C46:F46)</f>
        <v>272810</v>
      </c>
      <c r="H46" s="17">
        <f>ROUND(G46/2233,2)</f>
        <v>122.17</v>
      </c>
      <c r="I46" s="10"/>
      <c r="J46" s="10"/>
    </row>
    <row r="47" spans="1:10" x14ac:dyDescent="0.25">
      <c r="A47" s="21" t="s">
        <v>57</v>
      </c>
      <c r="B47" s="21"/>
      <c r="C47" s="11">
        <v>0</v>
      </c>
      <c r="D47" s="11">
        <v>0</v>
      </c>
      <c r="E47" s="11">
        <v>0</v>
      </c>
      <c r="F47" s="11">
        <v>0</v>
      </c>
      <c r="G47" s="11">
        <f>SUM(C47:F47)</f>
        <v>0</v>
      </c>
      <c r="H47" s="17">
        <f>ROUND(G47/2233,2)</f>
        <v>0</v>
      </c>
      <c r="I47" s="10"/>
      <c r="J47" s="10"/>
    </row>
    <row r="48" spans="1:10" x14ac:dyDescent="0.25">
      <c r="C48" s="9"/>
      <c r="D48" s="9"/>
      <c r="E48" s="9"/>
      <c r="F48" s="9"/>
      <c r="G48" s="9"/>
      <c r="H48" s="9"/>
      <c r="I48" s="10"/>
      <c r="J48" s="10"/>
    </row>
    <row r="49" spans="1:10" x14ac:dyDescent="0.25">
      <c r="C49" s="9"/>
      <c r="D49" s="9"/>
      <c r="E49" s="9"/>
      <c r="F49" s="9"/>
      <c r="G49" s="9"/>
      <c r="H49" s="9"/>
      <c r="I49" s="10"/>
      <c r="J49" s="10"/>
    </row>
    <row r="50" spans="1:10" x14ac:dyDescent="0.25">
      <c r="C50" s="9"/>
      <c r="D50" s="9"/>
      <c r="E50" s="9"/>
      <c r="F50" s="9"/>
      <c r="G50" s="9"/>
      <c r="H50" s="9"/>
      <c r="I50" s="10"/>
      <c r="J50" s="10"/>
    </row>
    <row r="51" spans="1:10" x14ac:dyDescent="0.25">
      <c r="C51" s="9"/>
      <c r="D51" s="9"/>
      <c r="E51" s="9"/>
      <c r="F51" s="9"/>
      <c r="G51" s="9"/>
      <c r="H51" s="9"/>
      <c r="I51" s="10"/>
      <c r="J51" s="10"/>
    </row>
    <row r="52" spans="1:10" x14ac:dyDescent="0.25">
      <c r="A52" s="26" t="s">
        <v>58</v>
      </c>
      <c r="B52" s="26"/>
      <c r="C52" s="15" t="s">
        <v>2</v>
      </c>
      <c r="D52" s="15">
        <v>2024</v>
      </c>
      <c r="E52" s="15" t="s">
        <v>60</v>
      </c>
      <c r="F52" s="14"/>
      <c r="G52" s="15" t="s">
        <v>61</v>
      </c>
      <c r="H52" s="15" t="s">
        <v>2</v>
      </c>
      <c r="I52" s="13" t="s">
        <v>62</v>
      </c>
      <c r="J52" s="13" t="s">
        <v>60</v>
      </c>
    </row>
    <row r="53" spans="1:10" x14ac:dyDescent="0.25">
      <c r="A53" s="21" t="s">
        <v>59</v>
      </c>
      <c r="B53" s="21"/>
      <c r="C53" s="16">
        <f>ROUND(0.8189, 4)</f>
        <v>0.81889999999999996</v>
      </c>
      <c r="D53" s="16">
        <f>ROUND(0.8204, 4)</f>
        <v>0.82040000000000002</v>
      </c>
      <c r="E53" s="16">
        <f>ROUND(0.7856, 4)</f>
        <v>0.78559999999999997</v>
      </c>
      <c r="F53" s="9"/>
      <c r="G53" s="15" t="s">
        <v>63</v>
      </c>
      <c r="H53" s="27" t="s">
        <v>64</v>
      </c>
      <c r="I53" s="24" t="s">
        <v>65</v>
      </c>
      <c r="J53" s="24" t="s">
        <v>66</v>
      </c>
    </row>
    <row r="54" spans="1:10" x14ac:dyDescent="0.25">
      <c r="A54" s="21" t="s">
        <v>67</v>
      </c>
      <c r="B54" s="21"/>
      <c r="C54" s="16">
        <f>ROUND(0.8189, 4)</f>
        <v>0.81889999999999996</v>
      </c>
      <c r="D54" s="16">
        <f>ROUND(0.8108, 4)</f>
        <v>0.81079999999999997</v>
      </c>
      <c r="E54" s="16">
        <f>ROUND(0.7702, 4)</f>
        <v>0.7702</v>
      </c>
      <c r="F54" s="9"/>
      <c r="G54" s="15" t="s">
        <v>68</v>
      </c>
      <c r="H54" s="28"/>
      <c r="I54" s="25"/>
      <c r="J54" s="25"/>
    </row>
    <row r="55" spans="1:10" x14ac:dyDescent="0.25">
      <c r="C55" s="9"/>
      <c r="D55" s="9"/>
      <c r="E55" s="9"/>
      <c r="F55" s="9"/>
      <c r="G55" s="9"/>
      <c r="H55" s="9"/>
      <c r="I55" s="10"/>
      <c r="J55" s="10"/>
    </row>
    <row r="58" spans="1:10" x14ac:dyDescent="0.25">
      <c r="A58" s="26" t="s">
        <v>69</v>
      </c>
      <c r="B58" s="26"/>
      <c r="C58" s="3" t="s">
        <v>2</v>
      </c>
      <c r="D58" s="3" t="s">
        <v>150</v>
      </c>
      <c r="E58" s="3" t="s">
        <v>71</v>
      </c>
      <c r="F58" s="3" t="s">
        <v>72</v>
      </c>
      <c r="G58" s="3" t="s">
        <v>73</v>
      </c>
      <c r="H58" s="2"/>
      <c r="I58" s="2"/>
      <c r="J58" s="2"/>
    </row>
    <row r="59" spans="1:10" x14ac:dyDescent="0.25">
      <c r="A59" s="21" t="s">
        <v>74</v>
      </c>
      <c r="B59" s="21"/>
      <c r="C59" s="1">
        <v>78.930000000000007</v>
      </c>
      <c r="D59" s="1">
        <v>75.87</v>
      </c>
      <c r="E59" s="1">
        <v>96.15</v>
      </c>
      <c r="F59" s="1">
        <v>57.94</v>
      </c>
      <c r="G59" s="1">
        <f>12/12*C59</f>
        <v>78.930000000000007</v>
      </c>
    </row>
    <row r="60" spans="1:10" x14ac:dyDescent="0.25">
      <c r="A60" s="21" t="s">
        <v>75</v>
      </c>
      <c r="B60" s="21"/>
      <c r="C60" s="1">
        <v>82.39</v>
      </c>
      <c r="D60" s="1">
        <v>82.24</v>
      </c>
      <c r="E60" s="1">
        <v>62.28</v>
      </c>
      <c r="F60" s="1">
        <v>66.599999999999994</v>
      </c>
      <c r="G60" s="1">
        <f>12/12*C60</f>
        <v>82.39</v>
      </c>
    </row>
    <row r="61" spans="1:10" x14ac:dyDescent="0.25">
      <c r="A61" s="21" t="s">
        <v>76</v>
      </c>
      <c r="B61" s="21"/>
      <c r="C61" s="1">
        <v>355.47</v>
      </c>
      <c r="D61" s="1">
        <v>349.2</v>
      </c>
      <c r="E61" s="1">
        <v>300.02</v>
      </c>
      <c r="F61" s="1">
        <v>295.08</v>
      </c>
      <c r="G61" s="1">
        <f>12/12*C61</f>
        <v>355.47</v>
      </c>
    </row>
    <row r="62" spans="1:10" x14ac:dyDescent="0.25">
      <c r="A62" s="21" t="s">
        <v>77</v>
      </c>
      <c r="B62" s="21"/>
      <c r="C62" s="1">
        <v>122.17</v>
      </c>
      <c r="D62" s="1">
        <v>115.47</v>
      </c>
      <c r="E62" s="1">
        <v>120.96</v>
      </c>
      <c r="F62" s="1">
        <v>83.12</v>
      </c>
      <c r="G62" s="1">
        <f>12/12*C62</f>
        <v>122.17</v>
      </c>
    </row>
    <row r="65" spans="1:2" x14ac:dyDescent="0.25">
      <c r="A65" s="22" t="s">
        <v>61</v>
      </c>
      <c r="B65" s="23"/>
    </row>
    <row r="66" spans="1:2" x14ac:dyDescent="0.25">
      <c r="A66" s="3" t="s">
        <v>78</v>
      </c>
      <c r="B66" s="1" t="s">
        <v>151</v>
      </c>
    </row>
    <row r="67" spans="1:2" x14ac:dyDescent="0.25">
      <c r="A67" s="3" t="s">
        <v>71</v>
      </c>
      <c r="B67" s="1" t="s">
        <v>80</v>
      </c>
    </row>
    <row r="68" spans="1:2" x14ac:dyDescent="0.25">
      <c r="A68" s="3" t="s">
        <v>72</v>
      </c>
      <c r="B68" s="1" t="s">
        <v>81</v>
      </c>
    </row>
    <row r="69" spans="1:2" x14ac:dyDescent="0.25">
      <c r="A69" s="3" t="s">
        <v>73</v>
      </c>
      <c r="B69" s="1" t="s">
        <v>82</v>
      </c>
    </row>
  </sheetData>
  <mergeCells count="19">
    <mergeCell ref="C7:G7"/>
    <mergeCell ref="A38:B38"/>
    <mergeCell ref="A39:B39"/>
    <mergeCell ref="A44:B44"/>
    <mergeCell ref="A45:B45"/>
    <mergeCell ref="J53:J54"/>
    <mergeCell ref="A54:B54"/>
    <mergeCell ref="A58:B58"/>
    <mergeCell ref="A59:B59"/>
    <mergeCell ref="A46:B46"/>
    <mergeCell ref="A47:B47"/>
    <mergeCell ref="A52:B52"/>
    <mergeCell ref="A53:B53"/>
    <mergeCell ref="H53:H54"/>
    <mergeCell ref="A60:B60"/>
    <mergeCell ref="A61:B61"/>
    <mergeCell ref="A62:B62"/>
    <mergeCell ref="A65:B65"/>
    <mergeCell ref="I53:I5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J73"/>
  <sheetViews>
    <sheetView workbookViewId="0">
      <selection activeCell="H5" sqref="H5"/>
    </sheetView>
  </sheetViews>
  <sheetFormatPr defaultRowHeight="15" x14ac:dyDescent="0.25"/>
  <cols>
    <col min="1" max="1" width="28.42578125" bestFit="1" customWidth="1"/>
    <col min="2" max="2" width="59.5703125" bestFit="1" customWidth="1"/>
    <col min="3" max="3" width="12.7109375" bestFit="1" customWidth="1"/>
    <col min="4" max="4" width="21.140625" bestFit="1" customWidth="1"/>
    <col min="5" max="5" width="13.85546875" bestFit="1" customWidth="1"/>
    <col min="6" max="6" width="8.5703125" bestFit="1" customWidth="1"/>
    <col min="7" max="7" width="47.7109375" bestFit="1" customWidth="1"/>
    <col min="8" max="9" width="16.7109375" bestFit="1" customWidth="1"/>
    <col min="10" max="10" width="24.42578125" bestFit="1" customWidth="1"/>
  </cols>
  <sheetData>
    <row r="2" spans="1:10" ht="18.75" x14ac:dyDescent="0.3">
      <c r="A2" s="3" t="s">
        <v>0</v>
      </c>
      <c r="B2" s="4" t="s">
        <v>152</v>
      </c>
    </row>
    <row r="3" spans="1:10" x14ac:dyDescent="0.25">
      <c r="A3" s="3" t="s">
        <v>2</v>
      </c>
      <c r="B3" s="1" t="s">
        <v>3</v>
      </c>
    </row>
    <row r="4" spans="1:10" x14ac:dyDescent="0.25">
      <c r="A4" s="3" t="s">
        <v>4</v>
      </c>
      <c r="B4" s="20">
        <v>150</v>
      </c>
    </row>
    <row r="7" spans="1:10" x14ac:dyDescent="0.25">
      <c r="C7" s="22" t="s">
        <v>5</v>
      </c>
      <c r="D7" s="21"/>
      <c r="E7" s="21"/>
      <c r="F7" s="21"/>
      <c r="G7" s="21"/>
    </row>
    <row r="8" spans="1:10" x14ac:dyDescent="0.25">
      <c r="A8" s="3" t="s">
        <v>6</v>
      </c>
      <c r="B8" s="3" t="s">
        <v>7</v>
      </c>
      <c r="C8" s="15" t="s">
        <v>8</v>
      </c>
      <c r="D8" s="15" t="s">
        <v>9</v>
      </c>
      <c r="E8" s="15" t="s">
        <v>10</v>
      </c>
      <c r="F8" s="15" t="s">
        <v>11</v>
      </c>
      <c r="G8" s="15" t="s">
        <v>12</v>
      </c>
      <c r="H8" s="15" t="s">
        <v>13</v>
      </c>
      <c r="I8" s="15" t="s">
        <v>14</v>
      </c>
      <c r="J8" s="15" t="s">
        <v>15</v>
      </c>
    </row>
    <row r="9" spans="1:10" x14ac:dyDescent="0.25">
      <c r="A9" s="1" t="s">
        <v>16</v>
      </c>
      <c r="B9" s="1" t="s">
        <v>19</v>
      </c>
      <c r="C9" s="11"/>
      <c r="D9" s="11">
        <v>9035</v>
      </c>
      <c r="E9" s="11"/>
      <c r="F9" s="11"/>
      <c r="G9" s="11">
        <f t="shared" ref="G9:G23" si="0">SUM(C9:F9)</f>
        <v>9035</v>
      </c>
      <c r="H9" s="17">
        <f t="shared" ref="H9:H23" si="1">ROUND(G9/150,2)</f>
        <v>60.23</v>
      </c>
      <c r="I9" s="16">
        <f t="shared" ref="I9:I23" si="2">ROUND(G9/$G$24,3)</f>
        <v>0.108</v>
      </c>
      <c r="J9" s="16">
        <f>ROUND(G9/8350-1,2)</f>
        <v>0.08</v>
      </c>
    </row>
    <row r="10" spans="1:10" x14ac:dyDescent="0.25">
      <c r="A10" s="1" t="s">
        <v>16</v>
      </c>
      <c r="B10" s="1" t="s">
        <v>20</v>
      </c>
      <c r="C10" s="11"/>
      <c r="D10" s="11">
        <v>6585</v>
      </c>
      <c r="E10" s="11"/>
      <c r="F10" s="11"/>
      <c r="G10" s="11">
        <f t="shared" si="0"/>
        <v>6585</v>
      </c>
      <c r="H10" s="17">
        <f t="shared" si="1"/>
        <v>43.9</v>
      </c>
      <c r="I10" s="16">
        <f t="shared" si="2"/>
        <v>7.9000000000000001E-2</v>
      </c>
      <c r="J10" s="16">
        <f>ROUND(G10/7395-1,2)</f>
        <v>-0.11</v>
      </c>
    </row>
    <row r="11" spans="1:10" x14ac:dyDescent="0.25">
      <c r="A11" s="1" t="s">
        <v>16</v>
      </c>
      <c r="B11" s="1" t="s">
        <v>24</v>
      </c>
      <c r="C11" s="11"/>
      <c r="D11" s="11">
        <v>8645</v>
      </c>
      <c r="E11" s="11"/>
      <c r="F11" s="11"/>
      <c r="G11" s="11">
        <f t="shared" si="0"/>
        <v>8645</v>
      </c>
      <c r="H11" s="17">
        <f t="shared" si="1"/>
        <v>57.63</v>
      </c>
      <c r="I11" s="16">
        <f t="shared" si="2"/>
        <v>0.10299999999999999</v>
      </c>
      <c r="J11" s="16">
        <f>ROUND(G11/10180-1,2)</f>
        <v>-0.15</v>
      </c>
    </row>
    <row r="12" spans="1:10" x14ac:dyDescent="0.25">
      <c r="A12" s="1" t="s">
        <v>16</v>
      </c>
      <c r="B12" s="1" t="s">
        <v>26</v>
      </c>
      <c r="C12" s="11">
        <v>4260</v>
      </c>
      <c r="D12" s="11">
        <v>3530</v>
      </c>
      <c r="E12" s="11"/>
      <c r="F12" s="11">
        <v>60</v>
      </c>
      <c r="G12" s="11">
        <f t="shared" si="0"/>
        <v>7850</v>
      </c>
      <c r="H12" s="17">
        <f t="shared" si="1"/>
        <v>52.33</v>
      </c>
      <c r="I12" s="16">
        <f t="shared" si="2"/>
        <v>9.4E-2</v>
      </c>
      <c r="J12" s="16">
        <f>ROUND(G12/7490-1,2)</f>
        <v>0.05</v>
      </c>
    </row>
    <row r="13" spans="1:10" x14ac:dyDescent="0.25">
      <c r="A13" s="1" t="s">
        <v>16</v>
      </c>
      <c r="B13" s="1" t="s">
        <v>34</v>
      </c>
      <c r="C13" s="11"/>
      <c r="D13" s="11">
        <v>33</v>
      </c>
      <c r="E13" s="11">
        <v>11</v>
      </c>
      <c r="F13" s="11"/>
      <c r="G13" s="11">
        <f t="shared" si="0"/>
        <v>44</v>
      </c>
      <c r="H13" s="17">
        <f t="shared" si="1"/>
        <v>0.28999999999999998</v>
      </c>
      <c r="I13" s="16">
        <f t="shared" si="2"/>
        <v>1E-3</v>
      </c>
      <c r="J13" s="16">
        <f>ROUND(G13/105-1,2)</f>
        <v>-0.57999999999999996</v>
      </c>
    </row>
    <row r="14" spans="1:10" x14ac:dyDescent="0.25">
      <c r="A14" s="1" t="s">
        <v>16</v>
      </c>
      <c r="B14" s="1" t="s">
        <v>42</v>
      </c>
      <c r="C14" s="11"/>
      <c r="D14" s="11"/>
      <c r="E14" s="11">
        <v>3550</v>
      </c>
      <c r="F14" s="11"/>
      <c r="G14" s="11">
        <f t="shared" si="0"/>
        <v>3550</v>
      </c>
      <c r="H14" s="17">
        <f t="shared" si="1"/>
        <v>23.67</v>
      </c>
      <c r="I14" s="16">
        <f t="shared" si="2"/>
        <v>4.2000000000000003E-2</v>
      </c>
      <c r="J14" s="16">
        <f>ROUND(G14/2770-1,2)</f>
        <v>0.28000000000000003</v>
      </c>
    </row>
    <row r="15" spans="1:10" x14ac:dyDescent="0.25">
      <c r="A15" s="1" t="s">
        <v>16</v>
      </c>
      <c r="B15" s="1" t="s">
        <v>44</v>
      </c>
      <c r="C15" s="11"/>
      <c r="D15" s="11"/>
      <c r="E15" s="11">
        <v>7140</v>
      </c>
      <c r="F15" s="11"/>
      <c r="G15" s="11">
        <f t="shared" si="0"/>
        <v>7140</v>
      </c>
      <c r="H15" s="17">
        <f t="shared" si="1"/>
        <v>47.6</v>
      </c>
      <c r="I15" s="16">
        <f t="shared" si="2"/>
        <v>8.5000000000000006E-2</v>
      </c>
      <c r="J15" s="16">
        <f>ROUND(G15/1620-1,2)</f>
        <v>3.41</v>
      </c>
    </row>
    <row r="16" spans="1:10" x14ac:dyDescent="0.25">
      <c r="A16" s="1" t="s">
        <v>16</v>
      </c>
      <c r="B16" s="1" t="s">
        <v>36</v>
      </c>
      <c r="C16" s="11"/>
      <c r="D16" s="11"/>
      <c r="E16" s="11"/>
      <c r="F16" s="11"/>
      <c r="G16" s="11">
        <f t="shared" si="0"/>
        <v>0</v>
      </c>
      <c r="H16" s="17">
        <f t="shared" si="1"/>
        <v>0</v>
      </c>
      <c r="I16" s="16">
        <f t="shared" si="2"/>
        <v>0</v>
      </c>
      <c r="J16" s="16">
        <f>ROUND(G16/60-1,2)</f>
        <v>-1</v>
      </c>
    </row>
    <row r="17" spans="1:10" x14ac:dyDescent="0.25">
      <c r="A17" s="1" t="s">
        <v>16</v>
      </c>
      <c r="B17" s="1" t="s">
        <v>30</v>
      </c>
      <c r="C17" s="11"/>
      <c r="D17" s="11"/>
      <c r="E17" s="11"/>
      <c r="F17" s="11"/>
      <c r="G17" s="11">
        <f t="shared" si="0"/>
        <v>0</v>
      </c>
      <c r="H17" s="17">
        <f t="shared" si="1"/>
        <v>0</v>
      </c>
      <c r="I17" s="16">
        <f t="shared" si="2"/>
        <v>0</v>
      </c>
      <c r="J17" s="16">
        <f>ROUND(G17/673.5-1,2)</f>
        <v>-1</v>
      </c>
    </row>
    <row r="18" spans="1:10" x14ac:dyDescent="0.25">
      <c r="A18" s="1" t="s">
        <v>16</v>
      </c>
      <c r="B18" s="1" t="s">
        <v>37</v>
      </c>
      <c r="C18" s="11"/>
      <c r="D18" s="11"/>
      <c r="E18" s="11"/>
      <c r="F18" s="11"/>
      <c r="G18" s="11">
        <f t="shared" si="0"/>
        <v>0</v>
      </c>
      <c r="H18" s="17">
        <f t="shared" si="1"/>
        <v>0</v>
      </c>
      <c r="I18" s="16">
        <f t="shared" si="2"/>
        <v>0</v>
      </c>
      <c r="J18" s="16">
        <f>ROUND(G18/719.5-1,2)</f>
        <v>-1</v>
      </c>
    </row>
    <row r="19" spans="1:10" x14ac:dyDescent="0.25">
      <c r="A19" s="1" t="s">
        <v>16</v>
      </c>
      <c r="B19" s="1" t="s">
        <v>38</v>
      </c>
      <c r="C19" s="11"/>
      <c r="D19" s="11"/>
      <c r="E19" s="11"/>
      <c r="F19" s="11"/>
      <c r="G19" s="11">
        <f t="shared" si="0"/>
        <v>0</v>
      </c>
      <c r="H19" s="17">
        <f t="shared" si="1"/>
        <v>0</v>
      </c>
      <c r="I19" s="16">
        <f t="shared" si="2"/>
        <v>0</v>
      </c>
      <c r="J19" s="16">
        <f>ROUND(G19/609.5-1,2)</f>
        <v>-1</v>
      </c>
    </row>
    <row r="20" spans="1:10" x14ac:dyDescent="0.25">
      <c r="A20" s="1" t="s">
        <v>16</v>
      </c>
      <c r="B20" s="1" t="s">
        <v>39</v>
      </c>
      <c r="C20" s="11"/>
      <c r="D20" s="11"/>
      <c r="E20" s="11"/>
      <c r="F20" s="11"/>
      <c r="G20" s="11">
        <f t="shared" si="0"/>
        <v>0</v>
      </c>
      <c r="H20" s="17">
        <f t="shared" si="1"/>
        <v>0</v>
      </c>
      <c r="I20" s="16">
        <f t="shared" si="2"/>
        <v>0</v>
      </c>
      <c r="J20" s="16">
        <f>ROUND(G20/1167.5-1,2)</f>
        <v>-1</v>
      </c>
    </row>
    <row r="21" spans="1:10" x14ac:dyDescent="0.25">
      <c r="A21" s="1" t="s">
        <v>45</v>
      </c>
      <c r="B21" s="1" t="s">
        <v>46</v>
      </c>
      <c r="C21" s="11">
        <v>6110</v>
      </c>
      <c r="D21" s="11">
        <v>23840</v>
      </c>
      <c r="E21" s="11"/>
      <c r="F21" s="11"/>
      <c r="G21" s="11">
        <f t="shared" si="0"/>
        <v>29950</v>
      </c>
      <c r="H21" s="17">
        <f t="shared" si="1"/>
        <v>199.67</v>
      </c>
      <c r="I21" s="16">
        <f t="shared" si="2"/>
        <v>0.35699999999999998</v>
      </c>
      <c r="J21" s="16">
        <f>ROUND(G21/32920-1,2)</f>
        <v>-0.09</v>
      </c>
    </row>
    <row r="22" spans="1:10" x14ac:dyDescent="0.25">
      <c r="A22" s="1" t="s">
        <v>45</v>
      </c>
      <c r="B22" s="1" t="s">
        <v>47</v>
      </c>
      <c r="C22" s="11"/>
      <c r="D22" s="11"/>
      <c r="E22" s="11">
        <v>11080</v>
      </c>
      <c r="F22" s="11"/>
      <c r="G22" s="11">
        <f t="shared" si="0"/>
        <v>11080</v>
      </c>
      <c r="H22" s="17">
        <f t="shared" si="1"/>
        <v>73.87</v>
      </c>
      <c r="I22" s="16">
        <f t="shared" si="2"/>
        <v>0.13200000000000001</v>
      </c>
      <c r="J22" s="16">
        <f>ROUND(G22/5200-1,2)</f>
        <v>1.1299999999999999</v>
      </c>
    </row>
    <row r="23" spans="1:10" x14ac:dyDescent="0.25">
      <c r="A23" s="1" t="s">
        <v>49</v>
      </c>
      <c r="B23" s="1" t="s">
        <v>52</v>
      </c>
      <c r="C23" s="11"/>
      <c r="D23" s="11"/>
      <c r="E23" s="11"/>
      <c r="F23" s="11"/>
      <c r="G23" s="11">
        <f t="shared" si="0"/>
        <v>0</v>
      </c>
      <c r="H23" s="17">
        <f t="shared" si="1"/>
        <v>0</v>
      </c>
      <c r="I23" s="16">
        <f t="shared" si="2"/>
        <v>0</v>
      </c>
      <c r="J23" s="16"/>
    </row>
    <row r="24" spans="1:10" x14ac:dyDescent="0.25">
      <c r="A24" s="26" t="s">
        <v>12</v>
      </c>
      <c r="B24" s="26"/>
      <c r="C24" s="12">
        <f t="shared" ref="C24:H24" si="3">SUM(C8:C23)</f>
        <v>10370</v>
      </c>
      <c r="D24" s="12">
        <f t="shared" si="3"/>
        <v>51668</v>
      </c>
      <c r="E24" s="12">
        <f t="shared" si="3"/>
        <v>21781</v>
      </c>
      <c r="F24" s="12">
        <f t="shared" si="3"/>
        <v>60</v>
      </c>
      <c r="G24" s="12">
        <f t="shared" si="3"/>
        <v>83879</v>
      </c>
      <c r="H24" s="15">
        <f t="shared" si="3"/>
        <v>559.18999999999994</v>
      </c>
      <c r="I24" s="18"/>
      <c r="J24" s="18"/>
    </row>
    <row r="25" spans="1:10" x14ac:dyDescent="0.25">
      <c r="A25" s="26" t="s">
        <v>14</v>
      </c>
      <c r="B25" s="26"/>
      <c r="C25" s="13">
        <f>ROUND(C24/G24,2)</f>
        <v>0.12</v>
      </c>
      <c r="D25" s="13">
        <f>ROUND(D24/G24,2)</f>
        <v>0.62</v>
      </c>
      <c r="E25" s="13">
        <f>ROUND(E24/G24,2)</f>
        <v>0.26</v>
      </c>
      <c r="F25" s="13">
        <f>ROUND(F24/G24,2)</f>
        <v>0</v>
      </c>
      <c r="G25" s="14"/>
      <c r="H25" s="14"/>
      <c r="I25" s="18"/>
      <c r="J25" s="18"/>
    </row>
    <row r="26" spans="1:10" x14ac:dyDescent="0.25">
      <c r="A26" s="2" t="s">
        <v>53</v>
      </c>
      <c r="B26" s="2"/>
      <c r="C26" s="14"/>
      <c r="D26" s="14"/>
      <c r="E26" s="14"/>
      <c r="F26" s="14"/>
      <c r="G26" s="14"/>
      <c r="H26" s="14"/>
      <c r="I26" s="18"/>
      <c r="J26" s="18"/>
    </row>
    <row r="27" spans="1:10" x14ac:dyDescent="0.25">
      <c r="C27" s="9"/>
      <c r="D27" s="9"/>
      <c r="E27" s="9"/>
      <c r="F27" s="9"/>
      <c r="G27" s="9"/>
      <c r="H27" s="9"/>
      <c r="I27" s="10"/>
      <c r="J27" s="10"/>
    </row>
    <row r="28" spans="1:10" x14ac:dyDescent="0.25">
      <c r="C28" s="9"/>
      <c r="D28" s="9"/>
      <c r="E28" s="9"/>
      <c r="F28" s="9"/>
      <c r="G28" s="9"/>
      <c r="H28" s="9"/>
      <c r="I28" s="10"/>
      <c r="J28" s="10"/>
    </row>
    <row r="29" spans="1:10" x14ac:dyDescent="0.25">
      <c r="C29" s="9"/>
      <c r="D29" s="9"/>
      <c r="E29" s="9"/>
      <c r="F29" s="9"/>
      <c r="G29" s="9"/>
      <c r="H29" s="9"/>
      <c r="I29" s="10"/>
      <c r="J29" s="10"/>
    </row>
    <row r="30" spans="1:10" x14ac:dyDescent="0.25">
      <c r="A30" s="26" t="s">
        <v>54</v>
      </c>
      <c r="B30" s="26"/>
      <c r="C30" s="12" t="s">
        <v>8</v>
      </c>
      <c r="D30" s="12" t="s">
        <v>9</v>
      </c>
      <c r="E30" s="12" t="s">
        <v>10</v>
      </c>
      <c r="F30" s="12" t="s">
        <v>11</v>
      </c>
      <c r="G30" s="12" t="s">
        <v>12</v>
      </c>
      <c r="H30" s="15" t="s">
        <v>13</v>
      </c>
      <c r="I30" s="18"/>
      <c r="J30" s="18"/>
    </row>
    <row r="31" spans="1:10" x14ac:dyDescent="0.25">
      <c r="A31" s="21" t="s">
        <v>55</v>
      </c>
      <c r="B31" s="21"/>
      <c r="C31" s="11">
        <v>4260</v>
      </c>
      <c r="D31" s="11">
        <v>27828</v>
      </c>
      <c r="E31" s="11">
        <v>10701</v>
      </c>
      <c r="F31" s="11">
        <v>60</v>
      </c>
      <c r="G31" s="11">
        <f>SUM(C31:F31)</f>
        <v>42849</v>
      </c>
      <c r="H31" s="17">
        <f>ROUND(G31/150,2)</f>
        <v>285.66000000000003</v>
      </c>
      <c r="I31" s="10"/>
      <c r="J31" s="10"/>
    </row>
    <row r="32" spans="1:10" x14ac:dyDescent="0.25">
      <c r="A32" s="21" t="s">
        <v>56</v>
      </c>
      <c r="B32" s="21"/>
      <c r="C32" s="11">
        <v>6110</v>
      </c>
      <c r="D32" s="11">
        <v>23840</v>
      </c>
      <c r="E32" s="11">
        <v>11080</v>
      </c>
      <c r="F32" s="11">
        <v>0</v>
      </c>
      <c r="G32" s="11">
        <f>SUM(C32:F32)</f>
        <v>41030</v>
      </c>
      <c r="H32" s="17">
        <f>ROUND(G32/150,2)</f>
        <v>273.52999999999997</v>
      </c>
      <c r="I32" s="10"/>
      <c r="J32" s="10"/>
    </row>
    <row r="33" spans="1:10" x14ac:dyDescent="0.25">
      <c r="A33" s="21" t="s">
        <v>57</v>
      </c>
      <c r="B33" s="21"/>
      <c r="C33" s="11">
        <v>0</v>
      </c>
      <c r="D33" s="11">
        <v>0</v>
      </c>
      <c r="E33" s="11">
        <v>0</v>
      </c>
      <c r="F33" s="11">
        <v>0</v>
      </c>
      <c r="G33" s="11">
        <f>SUM(C33:F33)</f>
        <v>0</v>
      </c>
      <c r="H33" s="17">
        <f>ROUND(G33/150,2)</f>
        <v>0</v>
      </c>
      <c r="I33" s="10"/>
      <c r="J33" s="10"/>
    </row>
    <row r="34" spans="1:10" x14ac:dyDescent="0.25">
      <c r="C34" s="9"/>
      <c r="D34" s="9"/>
      <c r="E34" s="9"/>
      <c r="F34" s="9"/>
      <c r="G34" s="9"/>
      <c r="H34" s="9"/>
      <c r="I34" s="10"/>
      <c r="J34" s="10"/>
    </row>
    <row r="35" spans="1:10" x14ac:dyDescent="0.25">
      <c r="C35" s="9"/>
      <c r="D35" s="9"/>
      <c r="E35" s="9"/>
      <c r="F35" s="9"/>
      <c r="G35" s="9"/>
      <c r="H35" s="9"/>
      <c r="I35" s="10"/>
      <c r="J35" s="10"/>
    </row>
    <row r="36" spans="1:10" x14ac:dyDescent="0.25">
      <c r="C36" s="9"/>
      <c r="D36" s="9"/>
      <c r="E36" s="9"/>
      <c r="F36" s="9"/>
      <c r="G36" s="9"/>
      <c r="H36" s="9"/>
      <c r="I36" s="10"/>
      <c r="J36" s="10"/>
    </row>
    <row r="37" spans="1:10" x14ac:dyDescent="0.25">
      <c r="C37" s="9"/>
      <c r="D37" s="9"/>
      <c r="E37" s="9"/>
      <c r="F37" s="9"/>
      <c r="G37" s="9"/>
      <c r="H37" s="9"/>
      <c r="I37" s="10"/>
      <c r="J37" s="10"/>
    </row>
    <row r="38" spans="1:10" x14ac:dyDescent="0.25">
      <c r="A38" s="26" t="s">
        <v>58</v>
      </c>
      <c r="B38" s="26"/>
      <c r="C38" s="15" t="s">
        <v>2</v>
      </c>
      <c r="D38" s="15">
        <v>2024</v>
      </c>
      <c r="E38" s="15" t="s">
        <v>60</v>
      </c>
      <c r="F38" s="14"/>
      <c r="G38" s="15" t="s">
        <v>61</v>
      </c>
      <c r="H38" s="15" t="s">
        <v>2</v>
      </c>
      <c r="I38" s="13" t="s">
        <v>62</v>
      </c>
      <c r="J38" s="13" t="s">
        <v>60</v>
      </c>
    </row>
    <row r="39" spans="1:10" x14ac:dyDescent="0.25">
      <c r="A39" s="21" t="s">
        <v>59</v>
      </c>
      <c r="B39" s="21"/>
      <c r="C39" s="16">
        <f>ROUND(0.6429, 4)</f>
        <v>0.64290000000000003</v>
      </c>
      <c r="D39" s="16">
        <f>ROUND(0.5776, 4)</f>
        <v>0.5776</v>
      </c>
      <c r="E39" s="16">
        <f>ROUND(0.7856, 4)</f>
        <v>0.78559999999999997</v>
      </c>
      <c r="F39" s="9"/>
      <c r="G39" s="15" t="s">
        <v>63</v>
      </c>
      <c r="H39" s="27" t="s">
        <v>64</v>
      </c>
      <c r="I39" s="24" t="s">
        <v>65</v>
      </c>
      <c r="J39" s="24" t="s">
        <v>66</v>
      </c>
    </row>
    <row r="40" spans="1:10" x14ac:dyDescent="0.25">
      <c r="A40" s="21" t="s">
        <v>67</v>
      </c>
      <c r="B40" s="21"/>
      <c r="C40" s="16">
        <f>ROUND(0.6429, 4)</f>
        <v>0.64290000000000003</v>
      </c>
      <c r="D40" s="16">
        <f>ROUND(0.5384, 4)</f>
        <v>0.53839999999999999</v>
      </c>
      <c r="E40" s="16">
        <f>ROUND(0.7702, 4)</f>
        <v>0.7702</v>
      </c>
      <c r="F40" s="9"/>
      <c r="G40" s="15" t="s">
        <v>68</v>
      </c>
      <c r="H40" s="28"/>
      <c r="I40" s="25"/>
      <c r="J40" s="25"/>
    </row>
    <row r="41" spans="1:10" x14ac:dyDescent="0.25">
      <c r="C41" s="9"/>
      <c r="D41" s="9"/>
      <c r="E41" s="9"/>
      <c r="F41" s="9"/>
      <c r="G41" s="9"/>
      <c r="H41" s="9"/>
      <c r="I41" s="10"/>
      <c r="J41" s="10"/>
    </row>
    <row r="42" spans="1:10" x14ac:dyDescent="0.25">
      <c r="C42" s="9"/>
      <c r="D42" s="9"/>
      <c r="E42" s="9"/>
      <c r="F42" s="9"/>
      <c r="G42" s="9"/>
      <c r="H42" s="9"/>
      <c r="I42" s="10"/>
      <c r="J42" s="10"/>
    </row>
    <row r="43" spans="1:10" x14ac:dyDescent="0.25">
      <c r="C43" s="9"/>
      <c r="D43" s="9"/>
      <c r="E43" s="9"/>
      <c r="F43" s="9"/>
      <c r="G43" s="9"/>
      <c r="H43" s="9"/>
      <c r="I43" s="10"/>
      <c r="J43" s="10"/>
    </row>
    <row r="44" spans="1:10" x14ac:dyDescent="0.25">
      <c r="A44" s="26" t="s">
        <v>69</v>
      </c>
      <c r="B44" s="26"/>
      <c r="C44" s="15" t="s">
        <v>2</v>
      </c>
      <c r="D44" s="15" t="s">
        <v>153</v>
      </c>
      <c r="E44" s="15" t="s">
        <v>71</v>
      </c>
      <c r="F44" s="15" t="s">
        <v>72</v>
      </c>
      <c r="G44" s="15" t="s">
        <v>73</v>
      </c>
      <c r="H44" s="14"/>
      <c r="I44" s="18"/>
      <c r="J44" s="18"/>
    </row>
    <row r="45" spans="1:10" x14ac:dyDescent="0.25">
      <c r="A45" s="21" t="s">
        <v>74</v>
      </c>
      <c r="B45" s="21"/>
      <c r="C45" s="17">
        <v>199.67</v>
      </c>
      <c r="D45" s="17">
        <v>202.6</v>
      </c>
      <c r="E45" s="17">
        <v>96.15</v>
      </c>
      <c r="F45" s="17">
        <v>57.94</v>
      </c>
      <c r="G45" s="17">
        <f>12/12*C45</f>
        <v>199.67</v>
      </c>
      <c r="H45" s="9"/>
      <c r="I45" s="10"/>
      <c r="J45" s="10"/>
    </row>
    <row r="46" spans="1:10" x14ac:dyDescent="0.25">
      <c r="A46" s="21" t="s">
        <v>75</v>
      </c>
      <c r="B46" s="21"/>
      <c r="C46" s="17">
        <v>52.33</v>
      </c>
      <c r="D46" s="17">
        <v>41.52</v>
      </c>
      <c r="E46" s="17">
        <v>62.28</v>
      </c>
      <c r="F46" s="17">
        <v>66.599999999999994</v>
      </c>
      <c r="G46" s="17">
        <f>12/12*C46</f>
        <v>52.33</v>
      </c>
      <c r="H46" s="9"/>
      <c r="I46" s="10"/>
      <c r="J46" s="10"/>
    </row>
    <row r="47" spans="1:10" x14ac:dyDescent="0.25">
      <c r="A47" s="21" t="s">
        <v>76</v>
      </c>
      <c r="B47" s="21"/>
      <c r="C47" s="17">
        <v>285.66000000000003</v>
      </c>
      <c r="D47" s="17">
        <v>267.31</v>
      </c>
      <c r="E47" s="17">
        <v>300.02</v>
      </c>
      <c r="F47" s="17">
        <v>295.08</v>
      </c>
      <c r="G47" s="17">
        <f>12/12*C47</f>
        <v>285.66000000000003</v>
      </c>
      <c r="H47" s="9"/>
      <c r="I47" s="10"/>
      <c r="J47" s="10"/>
    </row>
    <row r="48" spans="1:10" x14ac:dyDescent="0.25">
      <c r="A48" s="21" t="s">
        <v>77</v>
      </c>
      <c r="B48" s="21"/>
      <c r="C48" s="17">
        <v>273.52999999999997</v>
      </c>
      <c r="D48" s="17">
        <v>268.63</v>
      </c>
      <c r="E48" s="17">
        <v>120.96</v>
      </c>
      <c r="F48" s="17">
        <v>83.12</v>
      </c>
      <c r="G48" s="17">
        <f>12/12*C48</f>
        <v>273.52999999999997</v>
      </c>
      <c r="H48" s="9"/>
      <c r="I48" s="10"/>
      <c r="J48" s="10"/>
    </row>
    <row r="49" spans="1:10" x14ac:dyDescent="0.25">
      <c r="C49" s="9"/>
      <c r="D49" s="9"/>
      <c r="E49" s="9"/>
      <c r="F49" s="9"/>
      <c r="G49" s="9"/>
      <c r="H49" s="9"/>
      <c r="I49" s="10"/>
      <c r="J49" s="10"/>
    </row>
    <row r="50" spans="1:10" x14ac:dyDescent="0.25">
      <c r="C50" s="9"/>
      <c r="D50" s="9"/>
      <c r="E50" s="9"/>
      <c r="F50" s="9"/>
      <c r="G50" s="9"/>
      <c r="H50" s="9"/>
      <c r="I50" s="10"/>
      <c r="J50" s="10"/>
    </row>
    <row r="51" spans="1:10" x14ac:dyDescent="0.25">
      <c r="A51" s="22" t="s">
        <v>61</v>
      </c>
      <c r="B51" s="23"/>
      <c r="C51" s="9"/>
      <c r="D51" s="9"/>
      <c r="E51" s="9"/>
      <c r="F51" s="9"/>
      <c r="G51" s="9"/>
      <c r="H51" s="9"/>
      <c r="I51" s="10"/>
      <c r="J51" s="10"/>
    </row>
    <row r="52" spans="1:10" x14ac:dyDescent="0.25">
      <c r="A52" s="3" t="s">
        <v>78</v>
      </c>
      <c r="B52" s="1" t="s">
        <v>154</v>
      </c>
      <c r="C52" s="9"/>
      <c r="D52" s="9"/>
      <c r="E52" s="9"/>
      <c r="F52" s="9"/>
      <c r="G52" s="9"/>
      <c r="H52" s="9"/>
      <c r="I52" s="10"/>
      <c r="J52" s="10"/>
    </row>
    <row r="53" spans="1:10" x14ac:dyDescent="0.25">
      <c r="A53" s="3" t="s">
        <v>71</v>
      </c>
      <c r="B53" s="1" t="s">
        <v>80</v>
      </c>
      <c r="C53" s="9"/>
      <c r="D53" s="9"/>
      <c r="E53" s="9"/>
      <c r="F53" s="9"/>
      <c r="G53" s="9"/>
      <c r="H53" s="9"/>
      <c r="I53" s="10"/>
      <c r="J53" s="10"/>
    </row>
    <row r="54" spans="1:10" x14ac:dyDescent="0.25">
      <c r="A54" s="3" t="s">
        <v>72</v>
      </c>
      <c r="B54" s="1" t="s">
        <v>81</v>
      </c>
      <c r="C54" s="9"/>
      <c r="D54" s="9"/>
      <c r="E54" s="9"/>
      <c r="F54" s="9"/>
      <c r="G54" s="9"/>
      <c r="H54" s="9"/>
      <c r="I54" s="10"/>
      <c r="J54" s="10"/>
    </row>
    <row r="55" spans="1:10" x14ac:dyDescent="0.25">
      <c r="A55" s="3" t="s">
        <v>73</v>
      </c>
      <c r="B55" s="1" t="s">
        <v>82</v>
      </c>
      <c r="C55" s="9"/>
      <c r="D55" s="9"/>
      <c r="E55" s="9"/>
      <c r="F55" s="9"/>
      <c r="G55" s="9"/>
      <c r="H55" s="9"/>
      <c r="I55" s="10"/>
      <c r="J55" s="10"/>
    </row>
    <row r="56" spans="1:10" x14ac:dyDescent="0.25">
      <c r="C56" s="9"/>
      <c r="D56" s="9"/>
      <c r="E56" s="9"/>
      <c r="F56" s="9"/>
      <c r="G56" s="9"/>
      <c r="H56" s="9"/>
      <c r="I56" s="10"/>
      <c r="J56" s="10"/>
    </row>
    <row r="57" spans="1:10" x14ac:dyDescent="0.25">
      <c r="C57" s="9"/>
      <c r="D57" s="9"/>
      <c r="E57" s="9"/>
      <c r="F57" s="9"/>
      <c r="G57" s="9"/>
      <c r="H57" s="9"/>
      <c r="I57" s="10"/>
      <c r="J57" s="10"/>
    </row>
    <row r="58" spans="1:10" x14ac:dyDescent="0.25">
      <c r="C58" s="9"/>
      <c r="D58" s="9"/>
      <c r="E58" s="9"/>
      <c r="F58" s="9"/>
      <c r="G58" s="9"/>
      <c r="H58" s="9"/>
      <c r="I58" s="10"/>
      <c r="J58" s="10"/>
    </row>
    <row r="59" spans="1:10" x14ac:dyDescent="0.25">
      <c r="C59" s="9"/>
      <c r="D59" s="9"/>
      <c r="E59" s="9"/>
      <c r="F59" s="9"/>
      <c r="G59" s="9"/>
      <c r="H59" s="9"/>
      <c r="I59" s="10"/>
      <c r="J59" s="10"/>
    </row>
    <row r="60" spans="1:10" x14ac:dyDescent="0.25">
      <c r="C60" s="9"/>
      <c r="D60" s="9"/>
      <c r="E60" s="9"/>
      <c r="F60" s="9"/>
      <c r="G60" s="9"/>
      <c r="H60" s="9"/>
      <c r="I60" s="10"/>
      <c r="J60" s="10"/>
    </row>
    <row r="61" spans="1:10" x14ac:dyDescent="0.25">
      <c r="C61" s="9"/>
      <c r="D61" s="9"/>
      <c r="E61" s="9"/>
      <c r="F61" s="9"/>
      <c r="G61" s="9"/>
      <c r="H61" s="9"/>
      <c r="I61" s="10"/>
      <c r="J61" s="10"/>
    </row>
    <row r="62" spans="1:10" x14ac:dyDescent="0.25">
      <c r="C62" s="9"/>
      <c r="D62" s="9"/>
      <c r="E62" s="9"/>
      <c r="F62" s="9"/>
      <c r="G62" s="9"/>
      <c r="H62" s="9"/>
      <c r="I62" s="10"/>
      <c r="J62" s="10"/>
    </row>
    <row r="63" spans="1:10" x14ac:dyDescent="0.25">
      <c r="C63" s="9"/>
      <c r="D63" s="9"/>
      <c r="E63" s="9"/>
      <c r="F63" s="9"/>
      <c r="G63" s="9"/>
      <c r="H63" s="9"/>
      <c r="I63" s="10"/>
      <c r="J63" s="10"/>
    </row>
    <row r="64" spans="1:10" x14ac:dyDescent="0.25">
      <c r="C64" s="9"/>
      <c r="D64" s="9"/>
      <c r="E64" s="9"/>
      <c r="F64" s="9"/>
      <c r="G64" s="9"/>
      <c r="H64" s="9"/>
      <c r="I64" s="10"/>
      <c r="J64" s="10"/>
    </row>
    <row r="65" spans="3:10" x14ac:dyDescent="0.25">
      <c r="C65" s="9"/>
      <c r="D65" s="9"/>
      <c r="E65" s="9"/>
      <c r="F65" s="9"/>
      <c r="G65" s="9"/>
      <c r="H65" s="9"/>
      <c r="I65" s="10"/>
      <c r="J65" s="10"/>
    </row>
    <row r="66" spans="3:10" x14ac:dyDescent="0.25">
      <c r="C66" s="9"/>
      <c r="D66" s="9"/>
      <c r="E66" s="9"/>
      <c r="F66" s="9"/>
      <c r="G66" s="9"/>
      <c r="H66" s="9"/>
      <c r="I66" s="10"/>
      <c r="J66" s="10"/>
    </row>
    <row r="67" spans="3:10" x14ac:dyDescent="0.25">
      <c r="C67" s="9"/>
      <c r="D67" s="9"/>
      <c r="E67" s="9"/>
      <c r="F67" s="9"/>
      <c r="G67" s="9"/>
      <c r="H67" s="9"/>
      <c r="I67" s="10"/>
      <c r="J67" s="10"/>
    </row>
    <row r="68" spans="3:10" x14ac:dyDescent="0.25">
      <c r="C68" s="9"/>
      <c r="D68" s="9"/>
      <c r="E68" s="9"/>
      <c r="F68" s="9"/>
      <c r="G68" s="9"/>
      <c r="H68" s="9"/>
      <c r="I68" s="10"/>
      <c r="J68" s="10"/>
    </row>
    <row r="69" spans="3:10" x14ac:dyDescent="0.25">
      <c r="C69" s="9"/>
      <c r="D69" s="9"/>
      <c r="E69" s="9"/>
      <c r="F69" s="9"/>
      <c r="G69" s="9"/>
      <c r="H69" s="9"/>
      <c r="I69" s="10"/>
      <c r="J69" s="10"/>
    </row>
    <row r="70" spans="3:10" x14ac:dyDescent="0.25">
      <c r="C70" s="9"/>
      <c r="D70" s="9"/>
      <c r="E70" s="9"/>
      <c r="F70" s="9"/>
      <c r="G70" s="9"/>
      <c r="H70" s="9"/>
      <c r="I70" s="10"/>
      <c r="J70" s="10"/>
    </row>
    <row r="71" spans="3:10" x14ac:dyDescent="0.25">
      <c r="C71" s="9"/>
      <c r="D71" s="9"/>
      <c r="E71" s="9"/>
      <c r="F71" s="9"/>
      <c r="G71" s="9"/>
      <c r="H71" s="9"/>
      <c r="I71" s="10"/>
      <c r="J71" s="10"/>
    </row>
    <row r="72" spans="3:10" x14ac:dyDescent="0.25">
      <c r="C72" s="9"/>
      <c r="D72" s="9"/>
      <c r="E72" s="9"/>
      <c r="F72" s="9"/>
      <c r="G72" s="9"/>
      <c r="H72" s="9"/>
      <c r="I72" s="10"/>
      <c r="J72" s="10"/>
    </row>
    <row r="73" spans="3:10" x14ac:dyDescent="0.25">
      <c r="C73" s="9"/>
      <c r="D73" s="9"/>
      <c r="E73" s="9"/>
      <c r="F73" s="9"/>
      <c r="G73" s="9"/>
      <c r="H73" s="9"/>
      <c r="I73" s="10"/>
      <c r="J73" s="10"/>
    </row>
  </sheetData>
  <mergeCells count="19">
    <mergeCell ref="C7:G7"/>
    <mergeCell ref="A24:B24"/>
    <mergeCell ref="A25:B25"/>
    <mergeCell ref="A30:B30"/>
    <mergeCell ref="A31:B31"/>
    <mergeCell ref="J39:J40"/>
    <mergeCell ref="A40:B40"/>
    <mergeCell ref="A44:B44"/>
    <mergeCell ref="A45:B45"/>
    <mergeCell ref="A32:B32"/>
    <mergeCell ref="A33:B33"/>
    <mergeCell ref="A38:B38"/>
    <mergeCell ref="A39:B39"/>
    <mergeCell ref="H39:H40"/>
    <mergeCell ref="A46:B46"/>
    <mergeCell ref="A47:B47"/>
    <mergeCell ref="A48:B48"/>
    <mergeCell ref="A51:B51"/>
    <mergeCell ref="I39:I4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75"/>
  <sheetViews>
    <sheetView workbookViewId="0">
      <selection activeCell="H5" sqref="H5"/>
    </sheetView>
  </sheetViews>
  <sheetFormatPr defaultRowHeight="15" x14ac:dyDescent="0.25"/>
  <cols>
    <col min="1" max="1" width="28.42578125" bestFit="1" customWidth="1"/>
    <col min="2" max="2" width="59.5703125" bestFit="1" customWidth="1"/>
    <col min="3" max="3" width="12.7109375" bestFit="1" customWidth="1"/>
    <col min="4" max="4" width="23.140625" bestFit="1" customWidth="1"/>
    <col min="5" max="5" width="13.85546875" bestFit="1" customWidth="1"/>
    <col min="6" max="6" width="8.5703125" bestFit="1" customWidth="1"/>
    <col min="7" max="7" width="47.7109375" bestFit="1" customWidth="1"/>
    <col min="8" max="9" width="16.7109375" bestFit="1" customWidth="1"/>
    <col min="10" max="10" width="24.42578125" bestFit="1" customWidth="1"/>
  </cols>
  <sheetData>
    <row r="2" spans="1:10" ht="18.75" x14ac:dyDescent="0.3">
      <c r="A2" s="3" t="s">
        <v>0</v>
      </c>
      <c r="B2" s="4" t="s">
        <v>83</v>
      </c>
    </row>
    <row r="3" spans="1:10" x14ac:dyDescent="0.25">
      <c r="A3" s="3" t="s">
        <v>2</v>
      </c>
      <c r="B3" s="1" t="s">
        <v>3</v>
      </c>
    </row>
    <row r="4" spans="1:10" x14ac:dyDescent="0.25">
      <c r="A4" s="3" t="s">
        <v>4</v>
      </c>
      <c r="B4" s="20">
        <v>894</v>
      </c>
    </row>
    <row r="7" spans="1:10" x14ac:dyDescent="0.25">
      <c r="C7" s="22" t="s">
        <v>5</v>
      </c>
      <c r="D7" s="21"/>
      <c r="E7" s="21"/>
      <c r="F7" s="21"/>
      <c r="G7" s="21"/>
    </row>
    <row r="8" spans="1:10" x14ac:dyDescent="0.25">
      <c r="A8" s="3" t="s">
        <v>6</v>
      </c>
      <c r="B8" s="3" t="s">
        <v>7</v>
      </c>
      <c r="C8" s="15" t="s">
        <v>8</v>
      </c>
      <c r="D8" s="15" t="s">
        <v>9</v>
      </c>
      <c r="E8" s="15" t="s">
        <v>10</v>
      </c>
      <c r="F8" s="15" t="s">
        <v>11</v>
      </c>
      <c r="G8" s="15" t="s">
        <v>12</v>
      </c>
      <c r="H8" s="15" t="s">
        <v>13</v>
      </c>
      <c r="I8" s="15" t="s">
        <v>14</v>
      </c>
      <c r="J8" s="15" t="s">
        <v>15</v>
      </c>
    </row>
    <row r="9" spans="1:10" x14ac:dyDescent="0.25">
      <c r="A9" s="1" t="s">
        <v>16</v>
      </c>
      <c r="B9" s="1" t="s">
        <v>17</v>
      </c>
      <c r="C9" s="11"/>
      <c r="D9" s="11"/>
      <c r="E9" s="11">
        <v>87</v>
      </c>
      <c r="F9" s="11"/>
      <c r="G9" s="11">
        <f t="shared" ref="G9:G38" si="0">SUM(C9:F9)</f>
        <v>87</v>
      </c>
      <c r="H9" s="17">
        <f t="shared" ref="H9:H38" si="1">ROUND(G9/894,2)</f>
        <v>0.1</v>
      </c>
      <c r="I9" s="16">
        <f t="shared" ref="I9:I38" si="2">ROUND(G9/$G$39,3)</f>
        <v>0</v>
      </c>
      <c r="J9" s="16">
        <f>ROUND(G9/19-1,2)</f>
        <v>3.58</v>
      </c>
    </row>
    <row r="10" spans="1:10" x14ac:dyDescent="0.25">
      <c r="A10" s="1" t="s">
        <v>16</v>
      </c>
      <c r="B10" s="1" t="s">
        <v>19</v>
      </c>
      <c r="C10" s="11">
        <v>26120</v>
      </c>
      <c r="D10" s="11"/>
      <c r="E10" s="11">
        <v>3965</v>
      </c>
      <c r="F10" s="11"/>
      <c r="G10" s="11">
        <f t="shared" si="0"/>
        <v>30085</v>
      </c>
      <c r="H10" s="17">
        <f t="shared" si="1"/>
        <v>33.65</v>
      </c>
      <c r="I10" s="16">
        <f t="shared" si="2"/>
        <v>7.3999999999999996E-2</v>
      </c>
      <c r="J10" s="16">
        <f>ROUND(G10/30945-1,2)</f>
        <v>-0.03</v>
      </c>
    </row>
    <row r="11" spans="1:10" x14ac:dyDescent="0.25">
      <c r="A11" s="1" t="s">
        <v>16</v>
      </c>
      <c r="B11" s="1" t="s">
        <v>20</v>
      </c>
      <c r="C11" s="11">
        <v>46480</v>
      </c>
      <c r="D11" s="11">
        <v>1360</v>
      </c>
      <c r="E11" s="11"/>
      <c r="F11" s="11"/>
      <c r="G11" s="11">
        <f t="shared" si="0"/>
        <v>47840</v>
      </c>
      <c r="H11" s="17">
        <f t="shared" si="1"/>
        <v>53.51</v>
      </c>
      <c r="I11" s="16">
        <f t="shared" si="2"/>
        <v>0.11799999999999999</v>
      </c>
      <c r="J11" s="16">
        <f>ROUND(G11/43290-1,2)</f>
        <v>0.11</v>
      </c>
    </row>
    <row r="12" spans="1:10" x14ac:dyDescent="0.25">
      <c r="A12" s="1" t="s">
        <v>16</v>
      </c>
      <c r="B12" s="1" t="s">
        <v>21</v>
      </c>
      <c r="C12" s="11"/>
      <c r="D12" s="11"/>
      <c r="E12" s="11">
        <v>210</v>
      </c>
      <c r="F12" s="11"/>
      <c r="G12" s="11">
        <f t="shared" si="0"/>
        <v>210</v>
      </c>
      <c r="H12" s="17">
        <f t="shared" si="1"/>
        <v>0.23</v>
      </c>
      <c r="I12" s="16">
        <f t="shared" si="2"/>
        <v>1E-3</v>
      </c>
      <c r="J12" s="16">
        <f>ROUND(G12/299-1,2)</f>
        <v>-0.3</v>
      </c>
    </row>
    <row r="13" spans="1:10" x14ac:dyDescent="0.25">
      <c r="A13" s="1" t="s">
        <v>16</v>
      </c>
      <c r="B13" s="1" t="s">
        <v>22</v>
      </c>
      <c r="C13" s="11"/>
      <c r="D13" s="11"/>
      <c r="E13" s="11">
        <v>2089</v>
      </c>
      <c r="F13" s="11"/>
      <c r="G13" s="11">
        <f t="shared" si="0"/>
        <v>2089</v>
      </c>
      <c r="H13" s="17">
        <f t="shared" si="1"/>
        <v>2.34</v>
      </c>
      <c r="I13" s="16">
        <f t="shared" si="2"/>
        <v>5.0000000000000001E-3</v>
      </c>
      <c r="J13" s="16">
        <f>ROUND(G13/2366-1,2)</f>
        <v>-0.12</v>
      </c>
    </row>
    <row r="14" spans="1:10" x14ac:dyDescent="0.25">
      <c r="A14" s="1" t="s">
        <v>16</v>
      </c>
      <c r="B14" s="1" t="s">
        <v>23</v>
      </c>
      <c r="C14" s="11"/>
      <c r="D14" s="11"/>
      <c r="E14" s="11">
        <v>47163</v>
      </c>
      <c r="F14" s="11"/>
      <c r="G14" s="11">
        <f t="shared" si="0"/>
        <v>47163</v>
      </c>
      <c r="H14" s="17">
        <f t="shared" si="1"/>
        <v>52.76</v>
      </c>
      <c r="I14" s="16">
        <f t="shared" si="2"/>
        <v>0.11600000000000001</v>
      </c>
      <c r="J14" s="16">
        <f>ROUND(G14/62709-1,2)</f>
        <v>-0.25</v>
      </c>
    </row>
    <row r="15" spans="1:10" x14ac:dyDescent="0.25">
      <c r="A15" s="1" t="s">
        <v>16</v>
      </c>
      <c r="B15" s="1" t="s">
        <v>24</v>
      </c>
      <c r="C15" s="11">
        <v>35330</v>
      </c>
      <c r="D15" s="11"/>
      <c r="E15" s="11">
        <v>8672</v>
      </c>
      <c r="F15" s="11"/>
      <c r="G15" s="11">
        <f t="shared" si="0"/>
        <v>44002</v>
      </c>
      <c r="H15" s="17">
        <f t="shared" si="1"/>
        <v>49.22</v>
      </c>
      <c r="I15" s="16">
        <f t="shared" si="2"/>
        <v>0.108</v>
      </c>
      <c r="J15" s="16">
        <f>ROUND(G15/47205-1,2)</f>
        <v>-7.0000000000000007E-2</v>
      </c>
    </row>
    <row r="16" spans="1:10" x14ac:dyDescent="0.25">
      <c r="A16" s="1" t="s">
        <v>16</v>
      </c>
      <c r="B16" s="1" t="s">
        <v>25</v>
      </c>
      <c r="C16" s="11"/>
      <c r="D16" s="11"/>
      <c r="E16" s="11">
        <v>2465</v>
      </c>
      <c r="F16" s="11"/>
      <c r="G16" s="11">
        <f t="shared" si="0"/>
        <v>2465</v>
      </c>
      <c r="H16" s="17">
        <f t="shared" si="1"/>
        <v>2.76</v>
      </c>
      <c r="I16" s="16">
        <f t="shared" si="2"/>
        <v>6.0000000000000001E-3</v>
      </c>
      <c r="J16" s="16">
        <f>ROUND(G16/2737-1,2)</f>
        <v>-0.1</v>
      </c>
    </row>
    <row r="17" spans="1:10" x14ac:dyDescent="0.25">
      <c r="A17" s="1" t="s">
        <v>16</v>
      </c>
      <c r="B17" s="1" t="s">
        <v>26</v>
      </c>
      <c r="C17" s="11">
        <v>25900</v>
      </c>
      <c r="D17" s="11"/>
      <c r="E17" s="11"/>
      <c r="F17" s="11"/>
      <c r="G17" s="11">
        <f t="shared" si="0"/>
        <v>25900</v>
      </c>
      <c r="H17" s="17">
        <f t="shared" si="1"/>
        <v>28.97</v>
      </c>
      <c r="I17" s="16">
        <f t="shared" si="2"/>
        <v>6.4000000000000001E-2</v>
      </c>
      <c r="J17" s="16">
        <f>ROUND(G17/32680-1,2)</f>
        <v>-0.21</v>
      </c>
    </row>
    <row r="18" spans="1:10" x14ac:dyDescent="0.25">
      <c r="A18" s="1" t="s">
        <v>16</v>
      </c>
      <c r="B18" s="1" t="s">
        <v>27</v>
      </c>
      <c r="C18" s="11"/>
      <c r="D18" s="11"/>
      <c r="E18" s="11">
        <v>787</v>
      </c>
      <c r="F18" s="11"/>
      <c r="G18" s="11">
        <f t="shared" si="0"/>
        <v>787</v>
      </c>
      <c r="H18" s="17">
        <f t="shared" si="1"/>
        <v>0.88</v>
      </c>
      <c r="I18" s="16">
        <f t="shared" si="2"/>
        <v>2E-3</v>
      </c>
      <c r="J18" s="16">
        <f>ROUND(G18/769-1,2)</f>
        <v>0.02</v>
      </c>
    </row>
    <row r="19" spans="1:10" x14ac:dyDescent="0.25">
      <c r="A19" s="1" t="s">
        <v>16</v>
      </c>
      <c r="B19" s="1" t="s">
        <v>28</v>
      </c>
      <c r="C19" s="11"/>
      <c r="D19" s="11"/>
      <c r="E19" s="11">
        <v>376</v>
      </c>
      <c r="F19" s="11"/>
      <c r="G19" s="11">
        <f t="shared" si="0"/>
        <v>376</v>
      </c>
      <c r="H19" s="17">
        <f t="shared" si="1"/>
        <v>0.42</v>
      </c>
      <c r="I19" s="16">
        <f t="shared" si="2"/>
        <v>1E-3</v>
      </c>
      <c r="J19" s="16">
        <f>ROUND(G19/380-1,2)</f>
        <v>-0.01</v>
      </c>
    </row>
    <row r="20" spans="1:10" x14ac:dyDescent="0.25">
      <c r="A20" s="1" t="s">
        <v>16</v>
      </c>
      <c r="B20" s="1" t="s">
        <v>30</v>
      </c>
      <c r="C20" s="11"/>
      <c r="D20" s="11"/>
      <c r="E20" s="11">
        <v>2755</v>
      </c>
      <c r="F20" s="11"/>
      <c r="G20" s="11">
        <f t="shared" si="0"/>
        <v>2755</v>
      </c>
      <c r="H20" s="17">
        <f t="shared" si="1"/>
        <v>3.08</v>
      </c>
      <c r="I20" s="16">
        <f t="shared" si="2"/>
        <v>7.0000000000000001E-3</v>
      </c>
      <c r="J20" s="16">
        <f>ROUND(G20/2730-1,2)</f>
        <v>0.01</v>
      </c>
    </row>
    <row r="21" spans="1:10" x14ac:dyDescent="0.25">
      <c r="A21" s="1" t="s">
        <v>16</v>
      </c>
      <c r="B21" s="1" t="s">
        <v>31</v>
      </c>
      <c r="C21" s="11"/>
      <c r="D21" s="11"/>
      <c r="E21" s="11">
        <v>857</v>
      </c>
      <c r="F21" s="11"/>
      <c r="G21" s="11">
        <f t="shared" si="0"/>
        <v>857</v>
      </c>
      <c r="H21" s="17">
        <f t="shared" si="1"/>
        <v>0.96</v>
      </c>
      <c r="I21" s="16">
        <f t="shared" si="2"/>
        <v>2E-3</v>
      </c>
      <c r="J21" s="16">
        <f>ROUND(G21/211-1,2)</f>
        <v>3.06</v>
      </c>
    </row>
    <row r="22" spans="1:10" x14ac:dyDescent="0.25">
      <c r="A22" s="1" t="s">
        <v>16</v>
      </c>
      <c r="B22" s="1" t="s">
        <v>33</v>
      </c>
      <c r="C22" s="11"/>
      <c r="D22" s="11"/>
      <c r="E22" s="11">
        <v>1316</v>
      </c>
      <c r="F22" s="11"/>
      <c r="G22" s="11">
        <f t="shared" si="0"/>
        <v>1316</v>
      </c>
      <c r="H22" s="17">
        <f t="shared" si="1"/>
        <v>1.47</v>
      </c>
      <c r="I22" s="16">
        <f t="shared" si="2"/>
        <v>3.0000000000000001E-3</v>
      </c>
      <c r="J22" s="16">
        <f>ROUND(G22/1734-1,2)</f>
        <v>-0.24</v>
      </c>
    </row>
    <row r="23" spans="1:10" x14ac:dyDescent="0.25">
      <c r="A23" s="1" t="s">
        <v>16</v>
      </c>
      <c r="B23" s="1" t="s">
        <v>34</v>
      </c>
      <c r="C23" s="11"/>
      <c r="D23" s="11"/>
      <c r="E23" s="11">
        <v>72</v>
      </c>
      <c r="F23" s="11"/>
      <c r="G23" s="11">
        <f t="shared" si="0"/>
        <v>72</v>
      </c>
      <c r="H23" s="17">
        <f t="shared" si="1"/>
        <v>0.08</v>
      </c>
      <c r="I23" s="16">
        <f t="shared" si="2"/>
        <v>0</v>
      </c>
      <c r="J23" s="16">
        <f>ROUND(G23/194-1,2)</f>
        <v>-0.63</v>
      </c>
    </row>
    <row r="24" spans="1:10" x14ac:dyDescent="0.25">
      <c r="A24" s="1" t="s">
        <v>16</v>
      </c>
      <c r="B24" s="1" t="s">
        <v>35</v>
      </c>
      <c r="C24" s="11"/>
      <c r="D24" s="11"/>
      <c r="E24" s="11">
        <v>1741</v>
      </c>
      <c r="F24" s="11"/>
      <c r="G24" s="11">
        <f t="shared" si="0"/>
        <v>1741</v>
      </c>
      <c r="H24" s="17">
        <f t="shared" si="1"/>
        <v>1.95</v>
      </c>
      <c r="I24" s="16">
        <f t="shared" si="2"/>
        <v>4.0000000000000001E-3</v>
      </c>
      <c r="J24" s="16"/>
    </row>
    <row r="25" spans="1:10" x14ac:dyDescent="0.25">
      <c r="A25" s="1" t="s">
        <v>16</v>
      </c>
      <c r="B25" s="1" t="s">
        <v>37</v>
      </c>
      <c r="C25" s="11"/>
      <c r="D25" s="11"/>
      <c r="E25" s="11">
        <v>716</v>
      </c>
      <c r="F25" s="11"/>
      <c r="G25" s="11">
        <f t="shared" si="0"/>
        <v>716</v>
      </c>
      <c r="H25" s="17">
        <f t="shared" si="1"/>
        <v>0.8</v>
      </c>
      <c r="I25" s="16">
        <f t="shared" si="2"/>
        <v>2E-3</v>
      </c>
      <c r="J25" s="16">
        <f>ROUND(G25/1957-1,2)</f>
        <v>-0.63</v>
      </c>
    </row>
    <row r="26" spans="1:10" x14ac:dyDescent="0.25">
      <c r="A26" s="1" t="s">
        <v>16</v>
      </c>
      <c r="B26" s="1" t="s">
        <v>38</v>
      </c>
      <c r="C26" s="11"/>
      <c r="D26" s="11"/>
      <c r="E26" s="11">
        <v>4341</v>
      </c>
      <c r="F26" s="11"/>
      <c r="G26" s="11">
        <f t="shared" si="0"/>
        <v>4341</v>
      </c>
      <c r="H26" s="17">
        <f t="shared" si="1"/>
        <v>4.8600000000000003</v>
      </c>
      <c r="I26" s="16">
        <f t="shared" si="2"/>
        <v>1.0999999999999999E-2</v>
      </c>
      <c r="J26" s="16">
        <f>ROUND(G26/6786-1,2)</f>
        <v>-0.36</v>
      </c>
    </row>
    <row r="27" spans="1:10" x14ac:dyDescent="0.25">
      <c r="A27" s="1" t="s">
        <v>16</v>
      </c>
      <c r="B27" s="1" t="s">
        <v>39</v>
      </c>
      <c r="C27" s="11"/>
      <c r="D27" s="11"/>
      <c r="E27" s="11">
        <v>6014</v>
      </c>
      <c r="F27" s="11"/>
      <c r="G27" s="11">
        <f t="shared" si="0"/>
        <v>6014</v>
      </c>
      <c r="H27" s="17">
        <f t="shared" si="1"/>
        <v>6.73</v>
      </c>
      <c r="I27" s="16">
        <f t="shared" si="2"/>
        <v>1.4999999999999999E-2</v>
      </c>
      <c r="J27" s="16">
        <f>ROUND(G27/6503-1,2)</f>
        <v>-0.08</v>
      </c>
    </row>
    <row r="28" spans="1:10" x14ac:dyDescent="0.25">
      <c r="A28" s="1" t="s">
        <v>16</v>
      </c>
      <c r="B28" s="1" t="s">
        <v>40</v>
      </c>
      <c r="C28" s="11"/>
      <c r="D28" s="11"/>
      <c r="E28" s="11">
        <v>41106</v>
      </c>
      <c r="F28" s="11"/>
      <c r="G28" s="11">
        <f t="shared" si="0"/>
        <v>41106</v>
      </c>
      <c r="H28" s="17">
        <f t="shared" si="1"/>
        <v>45.98</v>
      </c>
      <c r="I28" s="16">
        <f t="shared" si="2"/>
        <v>0.10100000000000001</v>
      </c>
      <c r="J28" s="16">
        <f>ROUND(G28/58527-1,2)</f>
        <v>-0.3</v>
      </c>
    </row>
    <row r="29" spans="1:10" x14ac:dyDescent="0.25">
      <c r="A29" s="1" t="s">
        <v>16</v>
      </c>
      <c r="B29" s="1" t="s">
        <v>41</v>
      </c>
      <c r="C29" s="11"/>
      <c r="D29" s="11"/>
      <c r="E29" s="11">
        <v>4852</v>
      </c>
      <c r="F29" s="11"/>
      <c r="G29" s="11">
        <f t="shared" si="0"/>
        <v>4852</v>
      </c>
      <c r="H29" s="17">
        <f t="shared" si="1"/>
        <v>5.43</v>
      </c>
      <c r="I29" s="16">
        <f t="shared" si="2"/>
        <v>1.2E-2</v>
      </c>
      <c r="J29" s="16">
        <f>ROUND(G29/2420-1,2)</f>
        <v>1</v>
      </c>
    </row>
    <row r="30" spans="1:10" x14ac:dyDescent="0.25">
      <c r="A30" s="1" t="s">
        <v>16</v>
      </c>
      <c r="B30" s="1" t="s">
        <v>42</v>
      </c>
      <c r="C30" s="11"/>
      <c r="D30" s="11"/>
      <c r="E30" s="11">
        <v>19593</v>
      </c>
      <c r="F30" s="11"/>
      <c r="G30" s="11">
        <f t="shared" si="0"/>
        <v>19593</v>
      </c>
      <c r="H30" s="17">
        <f t="shared" si="1"/>
        <v>21.92</v>
      </c>
      <c r="I30" s="16">
        <f t="shared" si="2"/>
        <v>4.8000000000000001E-2</v>
      </c>
      <c r="J30" s="16">
        <f>ROUND(G30/21612-1,2)</f>
        <v>-0.09</v>
      </c>
    </row>
    <row r="31" spans="1:10" x14ac:dyDescent="0.25">
      <c r="A31" s="1" t="s">
        <v>16</v>
      </c>
      <c r="B31" s="1" t="s">
        <v>44</v>
      </c>
      <c r="C31" s="11"/>
      <c r="D31" s="11"/>
      <c r="E31" s="11">
        <v>6665</v>
      </c>
      <c r="F31" s="11"/>
      <c r="G31" s="11">
        <f t="shared" si="0"/>
        <v>6665</v>
      </c>
      <c r="H31" s="17">
        <f t="shared" si="1"/>
        <v>7.46</v>
      </c>
      <c r="I31" s="16">
        <f t="shared" si="2"/>
        <v>1.6E-2</v>
      </c>
      <c r="J31" s="16">
        <f>ROUND(G31/18614-1,2)</f>
        <v>-0.64</v>
      </c>
    </row>
    <row r="32" spans="1:10" x14ac:dyDescent="0.25">
      <c r="A32" s="1" t="s">
        <v>16</v>
      </c>
      <c r="B32" s="1" t="s">
        <v>29</v>
      </c>
      <c r="C32" s="11"/>
      <c r="D32" s="11"/>
      <c r="E32" s="11"/>
      <c r="F32" s="11"/>
      <c r="G32" s="11">
        <f t="shared" si="0"/>
        <v>0</v>
      </c>
      <c r="H32" s="17">
        <f t="shared" si="1"/>
        <v>0</v>
      </c>
      <c r="I32" s="16">
        <f t="shared" si="2"/>
        <v>0</v>
      </c>
      <c r="J32" s="16">
        <f>ROUND(G32/87-1,2)</f>
        <v>-1</v>
      </c>
    </row>
    <row r="33" spans="1:10" x14ac:dyDescent="0.25">
      <c r="A33" s="1" t="s">
        <v>16</v>
      </c>
      <c r="B33" s="1" t="s">
        <v>32</v>
      </c>
      <c r="C33" s="11"/>
      <c r="D33" s="11"/>
      <c r="E33" s="11"/>
      <c r="F33" s="11"/>
      <c r="G33" s="11">
        <f t="shared" si="0"/>
        <v>0</v>
      </c>
      <c r="H33" s="17">
        <f t="shared" si="1"/>
        <v>0</v>
      </c>
      <c r="I33" s="16">
        <f t="shared" si="2"/>
        <v>0</v>
      </c>
      <c r="J33" s="16">
        <f>ROUND(G33/187-1,2)</f>
        <v>-1</v>
      </c>
    </row>
    <row r="34" spans="1:10" x14ac:dyDescent="0.25">
      <c r="A34" s="1" t="s">
        <v>16</v>
      </c>
      <c r="B34" s="1" t="s">
        <v>36</v>
      </c>
      <c r="C34" s="11"/>
      <c r="D34" s="11"/>
      <c r="E34" s="11"/>
      <c r="F34" s="11"/>
      <c r="G34" s="11">
        <f t="shared" si="0"/>
        <v>0</v>
      </c>
      <c r="H34" s="17">
        <f t="shared" si="1"/>
        <v>0</v>
      </c>
      <c r="I34" s="16">
        <f t="shared" si="2"/>
        <v>0</v>
      </c>
      <c r="J34" s="16">
        <f>ROUND(G34/250-1,2)</f>
        <v>-1</v>
      </c>
    </row>
    <row r="35" spans="1:10" x14ac:dyDescent="0.25">
      <c r="A35" s="1" t="s">
        <v>45</v>
      </c>
      <c r="B35" s="1" t="s">
        <v>46</v>
      </c>
      <c r="C35" s="11">
        <v>85080</v>
      </c>
      <c r="D35" s="11"/>
      <c r="E35" s="11"/>
      <c r="F35" s="11"/>
      <c r="G35" s="11">
        <f t="shared" si="0"/>
        <v>85080</v>
      </c>
      <c r="H35" s="17">
        <f t="shared" si="1"/>
        <v>95.17</v>
      </c>
      <c r="I35" s="16">
        <f t="shared" si="2"/>
        <v>0.20899999999999999</v>
      </c>
      <c r="J35" s="16">
        <f>ROUND(G35/98580-1,2)</f>
        <v>-0.14000000000000001</v>
      </c>
    </row>
    <row r="36" spans="1:10" x14ac:dyDescent="0.25">
      <c r="A36" s="1" t="s">
        <v>45</v>
      </c>
      <c r="B36" s="1" t="s">
        <v>47</v>
      </c>
      <c r="C36" s="11"/>
      <c r="D36" s="11"/>
      <c r="E36" s="11">
        <v>30271</v>
      </c>
      <c r="F36" s="11"/>
      <c r="G36" s="11">
        <f t="shared" si="0"/>
        <v>30271</v>
      </c>
      <c r="H36" s="17">
        <f t="shared" si="1"/>
        <v>33.86</v>
      </c>
      <c r="I36" s="16">
        <f t="shared" si="2"/>
        <v>7.3999999999999996E-2</v>
      </c>
      <c r="J36" s="16">
        <f>ROUND(G36/41107-1,2)</f>
        <v>-0.26</v>
      </c>
    </row>
    <row r="37" spans="1:10" x14ac:dyDescent="0.25">
      <c r="A37" s="1" t="s">
        <v>45</v>
      </c>
      <c r="B37" s="1" t="s">
        <v>48</v>
      </c>
      <c r="C37" s="11"/>
      <c r="D37" s="11"/>
      <c r="E37" s="11"/>
      <c r="F37" s="11"/>
      <c r="G37" s="11">
        <f t="shared" si="0"/>
        <v>0</v>
      </c>
      <c r="H37" s="17">
        <f t="shared" si="1"/>
        <v>0</v>
      </c>
      <c r="I37" s="16">
        <f t="shared" si="2"/>
        <v>0</v>
      </c>
      <c r="J37" s="16"/>
    </row>
    <row r="38" spans="1:10" x14ac:dyDescent="0.25">
      <c r="A38" s="1" t="s">
        <v>49</v>
      </c>
      <c r="B38" s="1" t="s">
        <v>52</v>
      </c>
      <c r="C38" s="11"/>
      <c r="D38" s="11"/>
      <c r="E38" s="11"/>
      <c r="F38" s="11"/>
      <c r="G38" s="11">
        <f t="shared" si="0"/>
        <v>0</v>
      </c>
      <c r="H38" s="17">
        <f t="shared" si="1"/>
        <v>0</v>
      </c>
      <c r="I38" s="16">
        <f t="shared" si="2"/>
        <v>0</v>
      </c>
      <c r="J38" s="16"/>
    </row>
    <row r="39" spans="1:10" x14ac:dyDescent="0.25">
      <c r="A39" s="26" t="s">
        <v>12</v>
      </c>
      <c r="B39" s="26"/>
      <c r="C39" s="12">
        <f t="shared" ref="C39:H39" si="3">SUM(C8:C38)</f>
        <v>218910</v>
      </c>
      <c r="D39" s="12">
        <f t="shared" si="3"/>
        <v>1360</v>
      </c>
      <c r="E39" s="12">
        <f t="shared" si="3"/>
        <v>186113</v>
      </c>
      <c r="F39" s="12">
        <f t="shared" si="3"/>
        <v>0</v>
      </c>
      <c r="G39" s="12">
        <f t="shared" si="3"/>
        <v>406383</v>
      </c>
      <c r="H39" s="15">
        <f t="shared" si="3"/>
        <v>454.59000000000003</v>
      </c>
      <c r="I39" s="18"/>
      <c r="J39" s="18"/>
    </row>
    <row r="40" spans="1:10" x14ac:dyDescent="0.25">
      <c r="A40" s="26" t="s">
        <v>14</v>
      </c>
      <c r="B40" s="26"/>
      <c r="C40" s="13">
        <f>ROUND(C39/G39,2)</f>
        <v>0.54</v>
      </c>
      <c r="D40" s="13">
        <f>ROUND(D39/G39,2)</f>
        <v>0</v>
      </c>
      <c r="E40" s="13">
        <f>ROUND(E39/G39,2)</f>
        <v>0.46</v>
      </c>
      <c r="F40" s="13">
        <f>ROUND(F39/G39,2)</f>
        <v>0</v>
      </c>
      <c r="G40" s="14"/>
      <c r="H40" s="14"/>
      <c r="I40" s="18"/>
      <c r="J40" s="18"/>
    </row>
    <row r="41" spans="1:10" x14ac:dyDescent="0.25">
      <c r="A41" s="2" t="s">
        <v>53</v>
      </c>
      <c r="B41" s="2"/>
      <c r="C41" s="14"/>
      <c r="D41" s="14"/>
      <c r="E41" s="14"/>
      <c r="F41" s="14"/>
      <c r="G41" s="14"/>
      <c r="H41" s="14"/>
      <c r="I41" s="18"/>
      <c r="J41" s="18"/>
    </row>
    <row r="42" spans="1:10" x14ac:dyDescent="0.25">
      <c r="C42" s="9"/>
      <c r="D42" s="9"/>
      <c r="E42" s="9"/>
      <c r="F42" s="9"/>
      <c r="G42" s="9"/>
      <c r="H42" s="9"/>
      <c r="I42" s="10"/>
      <c r="J42" s="10"/>
    </row>
    <row r="43" spans="1:10" x14ac:dyDescent="0.25">
      <c r="C43" s="9"/>
      <c r="D43" s="9"/>
      <c r="E43" s="9"/>
      <c r="F43" s="9"/>
      <c r="G43" s="9"/>
      <c r="H43" s="9"/>
      <c r="I43" s="10"/>
      <c r="J43" s="10"/>
    </row>
    <row r="44" spans="1:10" x14ac:dyDescent="0.25">
      <c r="C44" s="9"/>
      <c r="D44" s="9"/>
      <c r="E44" s="9"/>
      <c r="F44" s="9"/>
      <c r="G44" s="9"/>
      <c r="H44" s="9"/>
      <c r="I44" s="10"/>
      <c r="J44" s="10"/>
    </row>
    <row r="45" spans="1:10" x14ac:dyDescent="0.25">
      <c r="A45" s="26" t="s">
        <v>54</v>
      </c>
      <c r="B45" s="26"/>
      <c r="C45" s="12" t="s">
        <v>8</v>
      </c>
      <c r="D45" s="12" t="s">
        <v>9</v>
      </c>
      <c r="E45" s="12" t="s">
        <v>10</v>
      </c>
      <c r="F45" s="12" t="s">
        <v>11</v>
      </c>
      <c r="G45" s="12" t="s">
        <v>12</v>
      </c>
      <c r="H45" s="15" t="s">
        <v>13</v>
      </c>
      <c r="I45" s="18"/>
      <c r="J45" s="18"/>
    </row>
    <row r="46" spans="1:10" x14ac:dyDescent="0.25">
      <c r="A46" s="21" t="s">
        <v>55</v>
      </c>
      <c r="B46" s="21"/>
      <c r="C46" s="11">
        <v>133830</v>
      </c>
      <c r="D46" s="11">
        <v>1360</v>
      </c>
      <c r="E46" s="11">
        <v>155842</v>
      </c>
      <c r="F46" s="11">
        <v>0</v>
      </c>
      <c r="G46" s="11">
        <f>SUM(C46:F46)</f>
        <v>291032</v>
      </c>
      <c r="H46" s="17">
        <f>ROUND(G46/894,2)</f>
        <v>325.54000000000002</v>
      </c>
      <c r="I46" s="10"/>
      <c r="J46" s="10"/>
    </row>
    <row r="47" spans="1:10" x14ac:dyDescent="0.25">
      <c r="A47" s="21" t="s">
        <v>56</v>
      </c>
      <c r="B47" s="21"/>
      <c r="C47" s="11">
        <v>85080</v>
      </c>
      <c r="D47" s="11">
        <v>0</v>
      </c>
      <c r="E47" s="11">
        <v>30271</v>
      </c>
      <c r="F47" s="11">
        <v>0</v>
      </c>
      <c r="G47" s="11">
        <f>SUM(C47:F47)</f>
        <v>115351</v>
      </c>
      <c r="H47" s="17">
        <f>ROUND(G47/894,2)</f>
        <v>129.03</v>
      </c>
      <c r="I47" s="10"/>
      <c r="J47" s="10"/>
    </row>
    <row r="48" spans="1:10" x14ac:dyDescent="0.25">
      <c r="A48" s="21" t="s">
        <v>57</v>
      </c>
      <c r="B48" s="21"/>
      <c r="C48" s="11">
        <v>0</v>
      </c>
      <c r="D48" s="11">
        <v>0</v>
      </c>
      <c r="E48" s="11">
        <v>0</v>
      </c>
      <c r="F48" s="11">
        <v>0</v>
      </c>
      <c r="G48" s="11">
        <f>SUM(C48:F48)</f>
        <v>0</v>
      </c>
      <c r="H48" s="17">
        <f>ROUND(G48/894,2)</f>
        <v>0</v>
      </c>
      <c r="I48" s="10"/>
      <c r="J48" s="10"/>
    </row>
    <row r="49" spans="1:10" x14ac:dyDescent="0.25">
      <c r="C49" s="9"/>
      <c r="D49" s="9"/>
      <c r="E49" s="9"/>
      <c r="F49" s="9"/>
      <c r="G49" s="9"/>
      <c r="H49" s="9"/>
      <c r="I49" s="10"/>
      <c r="J49" s="10"/>
    </row>
    <row r="50" spans="1:10" x14ac:dyDescent="0.25">
      <c r="C50" s="9"/>
      <c r="D50" s="9"/>
      <c r="E50" s="9"/>
      <c r="F50" s="9"/>
      <c r="G50" s="9"/>
      <c r="H50" s="9"/>
      <c r="I50" s="10"/>
      <c r="J50" s="10"/>
    </row>
    <row r="51" spans="1:10" x14ac:dyDescent="0.25">
      <c r="C51" s="9"/>
      <c r="D51" s="9"/>
      <c r="E51" s="9"/>
      <c r="F51" s="9"/>
      <c r="G51" s="9"/>
      <c r="H51" s="9"/>
      <c r="I51" s="10"/>
      <c r="J51" s="10"/>
    </row>
    <row r="52" spans="1:10" x14ac:dyDescent="0.25">
      <c r="C52" s="9"/>
      <c r="D52" s="9"/>
      <c r="E52" s="9"/>
      <c r="F52" s="9"/>
      <c r="G52" s="9"/>
      <c r="H52" s="9"/>
      <c r="I52" s="10"/>
      <c r="J52" s="10"/>
    </row>
    <row r="53" spans="1:10" x14ac:dyDescent="0.25">
      <c r="A53" s="26" t="s">
        <v>58</v>
      </c>
      <c r="B53" s="26"/>
      <c r="C53" s="15" t="s">
        <v>2</v>
      </c>
      <c r="D53" s="15">
        <v>2024</v>
      </c>
      <c r="E53" s="15" t="s">
        <v>60</v>
      </c>
      <c r="F53" s="14"/>
      <c r="G53" s="15" t="s">
        <v>61</v>
      </c>
      <c r="H53" s="15" t="s">
        <v>2</v>
      </c>
      <c r="I53" s="13" t="s">
        <v>62</v>
      </c>
      <c r="J53" s="13" t="s">
        <v>60</v>
      </c>
    </row>
    <row r="54" spans="1:10" x14ac:dyDescent="0.25">
      <c r="A54" s="21" t="s">
        <v>59</v>
      </c>
      <c r="B54" s="21"/>
      <c r="C54" s="16">
        <f>ROUND(0.7618, 4)</f>
        <v>0.76180000000000003</v>
      </c>
      <c r="D54" s="16">
        <f>ROUND(0.757, 4)</f>
        <v>0.75700000000000001</v>
      </c>
      <c r="E54" s="16">
        <f>ROUND(0.7856, 4)</f>
        <v>0.78559999999999997</v>
      </c>
      <c r="F54" s="9"/>
      <c r="G54" s="15" t="s">
        <v>63</v>
      </c>
      <c r="H54" s="27" t="s">
        <v>64</v>
      </c>
      <c r="I54" s="24" t="s">
        <v>65</v>
      </c>
      <c r="J54" s="24" t="s">
        <v>66</v>
      </c>
    </row>
    <row r="55" spans="1:10" x14ac:dyDescent="0.25">
      <c r="A55" s="21" t="s">
        <v>67</v>
      </c>
      <c r="B55" s="21"/>
      <c r="C55" s="16">
        <f>ROUND(0.7618, 4)</f>
        <v>0.76180000000000003</v>
      </c>
      <c r="D55" s="16">
        <f>ROUND(0.7293, 4)</f>
        <v>0.72929999999999995</v>
      </c>
      <c r="E55" s="16">
        <f>ROUND(0.7702, 4)</f>
        <v>0.7702</v>
      </c>
      <c r="F55" s="9"/>
      <c r="G55" s="15" t="s">
        <v>68</v>
      </c>
      <c r="H55" s="28"/>
      <c r="I55" s="25"/>
      <c r="J55" s="25"/>
    </row>
    <row r="56" spans="1:10" x14ac:dyDescent="0.25">
      <c r="C56" s="9"/>
      <c r="D56" s="9"/>
      <c r="E56" s="9"/>
      <c r="F56" s="9"/>
      <c r="G56" s="9"/>
      <c r="H56" s="9"/>
      <c r="I56" s="10"/>
      <c r="J56" s="10"/>
    </row>
    <row r="57" spans="1:10" x14ac:dyDescent="0.25">
      <c r="C57" s="9"/>
      <c r="D57" s="9"/>
      <c r="E57" s="9"/>
      <c r="F57" s="9"/>
      <c r="G57" s="9"/>
      <c r="H57" s="9"/>
      <c r="I57" s="10"/>
      <c r="J57" s="10"/>
    </row>
    <row r="58" spans="1:10" x14ac:dyDescent="0.25">
      <c r="C58" s="9"/>
      <c r="D58" s="9"/>
      <c r="E58" s="9"/>
      <c r="F58" s="9"/>
      <c r="G58" s="9"/>
      <c r="H58" s="9"/>
      <c r="I58" s="10"/>
      <c r="J58" s="10"/>
    </row>
    <row r="59" spans="1:10" x14ac:dyDescent="0.25">
      <c r="A59" s="26" t="s">
        <v>69</v>
      </c>
      <c r="B59" s="26"/>
      <c r="C59" s="15" t="s">
        <v>2</v>
      </c>
      <c r="D59" s="15" t="s">
        <v>84</v>
      </c>
      <c r="E59" s="15" t="s">
        <v>71</v>
      </c>
      <c r="F59" s="15" t="s">
        <v>72</v>
      </c>
      <c r="G59" s="15" t="s">
        <v>73</v>
      </c>
      <c r="H59" s="14"/>
      <c r="I59" s="18"/>
      <c r="J59" s="18"/>
    </row>
    <row r="60" spans="1:10" x14ac:dyDescent="0.25">
      <c r="A60" s="21" t="s">
        <v>74</v>
      </c>
      <c r="B60" s="21"/>
      <c r="C60" s="17">
        <v>95.17</v>
      </c>
      <c r="D60" s="17">
        <v>110.27</v>
      </c>
      <c r="E60" s="17">
        <v>96.15</v>
      </c>
      <c r="F60" s="17">
        <v>57.94</v>
      </c>
      <c r="G60" s="17">
        <f>12/12*C60</f>
        <v>95.17</v>
      </c>
      <c r="H60" s="9"/>
      <c r="I60" s="10"/>
      <c r="J60" s="10"/>
    </row>
    <row r="61" spans="1:10" x14ac:dyDescent="0.25">
      <c r="A61" s="21" t="s">
        <v>75</v>
      </c>
      <c r="B61" s="21"/>
      <c r="C61" s="17">
        <v>28.97</v>
      </c>
      <c r="D61" s="17">
        <v>41.13</v>
      </c>
      <c r="E61" s="17">
        <v>62.28</v>
      </c>
      <c r="F61" s="17">
        <v>66.599999999999994</v>
      </c>
      <c r="G61" s="17">
        <f>12/12*C61</f>
        <v>28.97</v>
      </c>
      <c r="H61" s="9"/>
      <c r="I61" s="10"/>
      <c r="J61" s="10"/>
    </row>
    <row r="62" spans="1:10" x14ac:dyDescent="0.25">
      <c r="A62" s="21" t="s">
        <v>76</v>
      </c>
      <c r="B62" s="21"/>
      <c r="C62" s="17">
        <v>325.54000000000002</v>
      </c>
      <c r="D62" s="17">
        <v>248.52</v>
      </c>
      <c r="E62" s="17">
        <v>300.02</v>
      </c>
      <c r="F62" s="17">
        <v>295.08</v>
      </c>
      <c r="G62" s="17">
        <f>12/12*C62</f>
        <v>325.54000000000002</v>
      </c>
      <c r="H62" s="9"/>
      <c r="I62" s="10"/>
      <c r="J62" s="10"/>
    </row>
    <row r="63" spans="1:10" x14ac:dyDescent="0.25">
      <c r="A63" s="21" t="s">
        <v>77</v>
      </c>
      <c r="B63" s="21"/>
      <c r="C63" s="17">
        <v>129.03</v>
      </c>
      <c r="D63" s="17">
        <v>128.27000000000001</v>
      </c>
      <c r="E63" s="17">
        <v>120.96</v>
      </c>
      <c r="F63" s="17">
        <v>83.12</v>
      </c>
      <c r="G63" s="17">
        <f>12/12*C63</f>
        <v>129.03</v>
      </c>
      <c r="H63" s="9"/>
      <c r="I63" s="10"/>
      <c r="J63" s="10"/>
    </row>
    <row r="64" spans="1:10" x14ac:dyDescent="0.25">
      <c r="C64" s="9"/>
      <c r="D64" s="9"/>
      <c r="E64" s="9"/>
      <c r="F64" s="9"/>
      <c r="G64" s="9"/>
      <c r="H64" s="9"/>
      <c r="I64" s="10"/>
      <c r="J64" s="10"/>
    </row>
    <row r="65" spans="1:10" x14ac:dyDescent="0.25">
      <c r="C65" s="9"/>
      <c r="D65" s="9"/>
      <c r="E65" s="9"/>
      <c r="F65" s="9"/>
      <c r="G65" s="9"/>
      <c r="H65" s="9"/>
      <c r="I65" s="10"/>
      <c r="J65" s="10"/>
    </row>
    <row r="66" spans="1:10" x14ac:dyDescent="0.25">
      <c r="A66" s="22" t="s">
        <v>61</v>
      </c>
      <c r="B66" s="23"/>
      <c r="C66" s="9"/>
      <c r="D66" s="9"/>
      <c r="E66" s="9"/>
      <c r="F66" s="9"/>
      <c r="G66" s="9"/>
      <c r="H66" s="9"/>
      <c r="I66" s="10"/>
      <c r="J66" s="10"/>
    </row>
    <row r="67" spans="1:10" x14ac:dyDescent="0.25">
      <c r="A67" s="3" t="s">
        <v>78</v>
      </c>
      <c r="B67" s="1" t="s">
        <v>85</v>
      </c>
      <c r="C67" s="9"/>
      <c r="D67" s="9"/>
      <c r="E67" s="9"/>
      <c r="F67" s="9"/>
      <c r="G67" s="9"/>
      <c r="H67" s="9"/>
      <c r="I67" s="10"/>
      <c r="J67" s="10"/>
    </row>
    <row r="68" spans="1:10" x14ac:dyDescent="0.25">
      <c r="A68" s="3" t="s">
        <v>71</v>
      </c>
      <c r="B68" s="1" t="s">
        <v>80</v>
      </c>
      <c r="C68" s="9"/>
      <c r="D68" s="9"/>
      <c r="E68" s="9"/>
      <c r="F68" s="9"/>
      <c r="G68" s="9"/>
      <c r="H68" s="9"/>
      <c r="I68" s="10"/>
      <c r="J68" s="10"/>
    </row>
    <row r="69" spans="1:10" x14ac:dyDescent="0.25">
      <c r="A69" s="3" t="s">
        <v>72</v>
      </c>
      <c r="B69" s="1" t="s">
        <v>81</v>
      </c>
      <c r="C69" s="9"/>
      <c r="D69" s="9"/>
      <c r="E69" s="9"/>
      <c r="F69" s="9"/>
      <c r="G69" s="9"/>
      <c r="H69" s="9"/>
      <c r="I69" s="10"/>
      <c r="J69" s="10"/>
    </row>
    <row r="70" spans="1:10" x14ac:dyDescent="0.25">
      <c r="A70" s="3" t="s">
        <v>73</v>
      </c>
      <c r="B70" s="1" t="s">
        <v>82</v>
      </c>
      <c r="C70" s="9"/>
      <c r="D70" s="9"/>
      <c r="E70" s="9"/>
      <c r="F70" s="9"/>
      <c r="G70" s="9"/>
      <c r="H70" s="9"/>
      <c r="I70" s="10"/>
      <c r="J70" s="10"/>
    </row>
    <row r="71" spans="1:10" x14ac:dyDescent="0.25">
      <c r="C71" s="9"/>
      <c r="D71" s="9"/>
      <c r="E71" s="9"/>
      <c r="F71" s="9"/>
      <c r="G71" s="9"/>
      <c r="H71" s="9"/>
      <c r="I71" s="10"/>
      <c r="J71" s="10"/>
    </row>
    <row r="72" spans="1:10" x14ac:dyDescent="0.25">
      <c r="C72" s="9"/>
      <c r="D72" s="9"/>
      <c r="E72" s="9"/>
      <c r="F72" s="9"/>
      <c r="G72" s="9"/>
      <c r="H72" s="9"/>
      <c r="I72" s="10"/>
      <c r="J72" s="10"/>
    </row>
    <row r="73" spans="1:10" x14ac:dyDescent="0.25">
      <c r="C73" s="9"/>
      <c r="D73" s="9"/>
      <c r="E73" s="9"/>
      <c r="F73" s="9"/>
      <c r="G73" s="9"/>
      <c r="H73" s="9"/>
      <c r="I73" s="10"/>
      <c r="J73" s="10"/>
    </row>
    <row r="74" spans="1:10" x14ac:dyDescent="0.25">
      <c r="C74" s="9"/>
      <c r="D74" s="9"/>
      <c r="E74" s="9"/>
      <c r="F74" s="9"/>
      <c r="G74" s="9"/>
      <c r="H74" s="9"/>
      <c r="I74" s="10"/>
      <c r="J74" s="10"/>
    </row>
    <row r="75" spans="1:10" x14ac:dyDescent="0.25">
      <c r="C75" s="9"/>
      <c r="D75" s="9"/>
      <c r="E75" s="9"/>
      <c r="F75" s="9"/>
      <c r="G75" s="9"/>
      <c r="H75" s="9"/>
      <c r="I75" s="10"/>
      <c r="J75" s="10"/>
    </row>
  </sheetData>
  <mergeCells count="19">
    <mergeCell ref="C7:G7"/>
    <mergeCell ref="A39:B39"/>
    <mergeCell ref="A40:B40"/>
    <mergeCell ref="A45:B45"/>
    <mergeCell ref="A46:B46"/>
    <mergeCell ref="J54:J55"/>
    <mergeCell ref="A55:B55"/>
    <mergeCell ref="A59:B59"/>
    <mergeCell ref="A60:B60"/>
    <mergeCell ref="A47:B47"/>
    <mergeCell ref="A48:B48"/>
    <mergeCell ref="A53:B53"/>
    <mergeCell ref="A54:B54"/>
    <mergeCell ref="H54:H55"/>
    <mergeCell ref="A61:B61"/>
    <mergeCell ref="A62:B62"/>
    <mergeCell ref="A63:B63"/>
    <mergeCell ref="A66:B66"/>
    <mergeCell ref="I54:I5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J77"/>
  <sheetViews>
    <sheetView workbookViewId="0">
      <selection activeCell="H5" sqref="H5"/>
    </sheetView>
  </sheetViews>
  <sheetFormatPr defaultRowHeight="15" x14ac:dyDescent="0.25"/>
  <cols>
    <col min="1" max="1" width="28.42578125" bestFit="1" customWidth="1"/>
    <col min="2" max="2" width="59.5703125" bestFit="1" customWidth="1"/>
    <col min="3" max="3" width="12.7109375" bestFit="1" customWidth="1"/>
    <col min="4" max="4" width="25" bestFit="1" customWidth="1"/>
    <col min="5" max="5" width="13.85546875" bestFit="1" customWidth="1"/>
    <col min="6" max="6" width="8.5703125" bestFit="1" customWidth="1"/>
    <col min="7" max="7" width="47.7109375" bestFit="1" customWidth="1"/>
    <col min="8" max="9" width="16.7109375" bestFit="1" customWidth="1"/>
    <col min="10" max="10" width="24.42578125" bestFit="1" customWidth="1"/>
  </cols>
  <sheetData>
    <row r="2" spans="1:10" ht="18.75" x14ac:dyDescent="0.3">
      <c r="A2" s="3" t="s">
        <v>0</v>
      </c>
      <c r="B2" s="4" t="s">
        <v>155</v>
      </c>
    </row>
    <row r="3" spans="1:10" x14ac:dyDescent="0.25">
      <c r="A3" s="3" t="s">
        <v>2</v>
      </c>
      <c r="B3" s="1" t="s">
        <v>3</v>
      </c>
    </row>
    <row r="4" spans="1:10" x14ac:dyDescent="0.25">
      <c r="A4" s="3" t="s">
        <v>4</v>
      </c>
      <c r="B4" s="20">
        <v>1264</v>
      </c>
    </row>
    <row r="7" spans="1:10" x14ac:dyDescent="0.25">
      <c r="C7" s="22" t="s">
        <v>5</v>
      </c>
      <c r="D7" s="21"/>
      <c r="E7" s="21"/>
      <c r="F7" s="21"/>
      <c r="G7" s="21"/>
    </row>
    <row r="8" spans="1:10" x14ac:dyDescent="0.25">
      <c r="A8" s="3" t="s">
        <v>6</v>
      </c>
      <c r="B8" s="3" t="s">
        <v>7</v>
      </c>
      <c r="C8" s="15" t="s">
        <v>8</v>
      </c>
      <c r="D8" s="15" t="s">
        <v>9</v>
      </c>
      <c r="E8" s="15" t="s">
        <v>10</v>
      </c>
      <c r="F8" s="15" t="s">
        <v>11</v>
      </c>
      <c r="G8" s="15" t="s">
        <v>12</v>
      </c>
      <c r="H8" s="15" t="s">
        <v>13</v>
      </c>
      <c r="I8" s="15" t="s">
        <v>14</v>
      </c>
      <c r="J8" s="15" t="s">
        <v>15</v>
      </c>
    </row>
    <row r="9" spans="1:10" x14ac:dyDescent="0.25">
      <c r="A9" s="1" t="s">
        <v>16</v>
      </c>
      <c r="B9" s="1" t="s">
        <v>17</v>
      </c>
      <c r="C9" s="11"/>
      <c r="D9" s="11"/>
      <c r="E9" s="11">
        <v>48</v>
      </c>
      <c r="F9" s="11"/>
      <c r="G9" s="11">
        <f t="shared" ref="G9:G41" si="0">SUM(C9:F9)</f>
        <v>48</v>
      </c>
      <c r="H9" s="17">
        <f t="shared" ref="H9:H41" si="1">ROUND(G9/1264,2)</f>
        <v>0.04</v>
      </c>
      <c r="I9" s="16">
        <f t="shared" ref="I9:I41" si="2">ROUND(G9/$G$42,3)</f>
        <v>0</v>
      </c>
      <c r="J9" s="16">
        <f>ROUND(G9/23-1,2)</f>
        <v>1.0900000000000001</v>
      </c>
    </row>
    <row r="10" spans="1:10" x14ac:dyDescent="0.25">
      <c r="A10" s="1" t="s">
        <v>16</v>
      </c>
      <c r="B10" s="1" t="s">
        <v>19</v>
      </c>
      <c r="C10" s="11">
        <v>40500</v>
      </c>
      <c r="D10" s="11"/>
      <c r="E10" s="11"/>
      <c r="F10" s="11"/>
      <c r="G10" s="11">
        <f t="shared" si="0"/>
        <v>40500</v>
      </c>
      <c r="H10" s="17">
        <f t="shared" si="1"/>
        <v>32.04</v>
      </c>
      <c r="I10" s="16">
        <f t="shared" si="2"/>
        <v>9.1999999999999998E-2</v>
      </c>
      <c r="J10" s="16">
        <f>ROUND(G10/39000-1,2)</f>
        <v>0.04</v>
      </c>
    </row>
    <row r="11" spans="1:10" x14ac:dyDescent="0.25">
      <c r="A11" s="1" t="s">
        <v>16</v>
      </c>
      <c r="B11" s="1" t="s">
        <v>20</v>
      </c>
      <c r="C11" s="11">
        <v>46890</v>
      </c>
      <c r="D11" s="11"/>
      <c r="E11" s="11"/>
      <c r="F11" s="11"/>
      <c r="G11" s="11">
        <f t="shared" si="0"/>
        <v>46890</v>
      </c>
      <c r="H11" s="17">
        <f t="shared" si="1"/>
        <v>37.1</v>
      </c>
      <c r="I11" s="16">
        <f t="shared" si="2"/>
        <v>0.107</v>
      </c>
      <c r="J11" s="16">
        <f>ROUND(G11/42755-1,2)</f>
        <v>0.1</v>
      </c>
    </row>
    <row r="12" spans="1:10" x14ac:dyDescent="0.25">
      <c r="A12" s="1" t="s">
        <v>16</v>
      </c>
      <c r="B12" s="1" t="s">
        <v>21</v>
      </c>
      <c r="C12" s="11"/>
      <c r="D12" s="11"/>
      <c r="E12" s="11">
        <v>139</v>
      </c>
      <c r="F12" s="11"/>
      <c r="G12" s="11">
        <f t="shared" si="0"/>
        <v>139</v>
      </c>
      <c r="H12" s="17">
        <f t="shared" si="1"/>
        <v>0.11</v>
      </c>
      <c r="I12" s="16">
        <f t="shared" si="2"/>
        <v>0</v>
      </c>
      <c r="J12" s="16">
        <f>ROUND(G12/150-1,2)</f>
        <v>-7.0000000000000007E-2</v>
      </c>
    </row>
    <row r="13" spans="1:10" x14ac:dyDescent="0.25">
      <c r="A13" s="1" t="s">
        <v>16</v>
      </c>
      <c r="B13" s="1" t="s">
        <v>23</v>
      </c>
      <c r="C13" s="11"/>
      <c r="D13" s="11"/>
      <c r="E13" s="11">
        <v>42360</v>
      </c>
      <c r="F13" s="11"/>
      <c r="G13" s="11">
        <f t="shared" si="0"/>
        <v>42360</v>
      </c>
      <c r="H13" s="17">
        <f t="shared" si="1"/>
        <v>33.51</v>
      </c>
      <c r="I13" s="16">
        <f t="shared" si="2"/>
        <v>9.7000000000000003E-2</v>
      </c>
      <c r="J13" s="16">
        <f>ROUND(G13/34160-1,2)</f>
        <v>0.24</v>
      </c>
    </row>
    <row r="14" spans="1:10" x14ac:dyDescent="0.25">
      <c r="A14" s="1" t="s">
        <v>16</v>
      </c>
      <c r="B14" s="1" t="s">
        <v>24</v>
      </c>
      <c r="C14" s="11">
        <v>42920</v>
      </c>
      <c r="D14" s="11"/>
      <c r="E14" s="11"/>
      <c r="F14" s="11"/>
      <c r="G14" s="11">
        <f t="shared" si="0"/>
        <v>42920</v>
      </c>
      <c r="H14" s="17">
        <f t="shared" si="1"/>
        <v>33.96</v>
      </c>
      <c r="I14" s="16">
        <f t="shared" si="2"/>
        <v>9.8000000000000004E-2</v>
      </c>
      <c r="J14" s="16">
        <f>ROUND(G14/47270-1,2)</f>
        <v>-0.09</v>
      </c>
    </row>
    <row r="15" spans="1:10" x14ac:dyDescent="0.25">
      <c r="A15" s="1" t="s">
        <v>16</v>
      </c>
      <c r="B15" s="1" t="s">
        <v>25</v>
      </c>
      <c r="C15" s="11"/>
      <c r="D15" s="11"/>
      <c r="E15" s="11">
        <v>760</v>
      </c>
      <c r="F15" s="11"/>
      <c r="G15" s="11">
        <f t="shared" si="0"/>
        <v>760</v>
      </c>
      <c r="H15" s="17">
        <f t="shared" si="1"/>
        <v>0.6</v>
      </c>
      <c r="I15" s="16">
        <f t="shared" si="2"/>
        <v>2E-3</v>
      </c>
      <c r="J15" s="16">
        <f>ROUND(G15/2675-1,2)</f>
        <v>-0.72</v>
      </c>
    </row>
    <row r="16" spans="1:10" x14ac:dyDescent="0.25">
      <c r="A16" s="1" t="s">
        <v>16</v>
      </c>
      <c r="B16" s="1" t="s">
        <v>26</v>
      </c>
      <c r="C16" s="11">
        <v>47240</v>
      </c>
      <c r="D16" s="11"/>
      <c r="E16" s="11"/>
      <c r="F16" s="11"/>
      <c r="G16" s="11">
        <f t="shared" si="0"/>
        <v>47240</v>
      </c>
      <c r="H16" s="17">
        <f t="shared" si="1"/>
        <v>37.369999999999997</v>
      </c>
      <c r="I16" s="16">
        <f t="shared" si="2"/>
        <v>0.108</v>
      </c>
      <c r="J16" s="16">
        <f>ROUND(G16/44580-1,2)</f>
        <v>0.06</v>
      </c>
    </row>
    <row r="17" spans="1:10" x14ac:dyDescent="0.25">
      <c r="A17" s="1" t="s">
        <v>16</v>
      </c>
      <c r="B17" s="1" t="s">
        <v>27</v>
      </c>
      <c r="C17" s="11"/>
      <c r="D17" s="11"/>
      <c r="E17" s="11">
        <v>537</v>
      </c>
      <c r="F17" s="11"/>
      <c r="G17" s="11">
        <f t="shared" si="0"/>
        <v>537</v>
      </c>
      <c r="H17" s="17">
        <f t="shared" si="1"/>
        <v>0.42</v>
      </c>
      <c r="I17" s="16">
        <f t="shared" si="2"/>
        <v>1E-3</v>
      </c>
      <c r="J17" s="16">
        <f>ROUND(G17/867-1,2)</f>
        <v>-0.38</v>
      </c>
    </row>
    <row r="18" spans="1:10" x14ac:dyDescent="0.25">
      <c r="A18" s="1" t="s">
        <v>16</v>
      </c>
      <c r="B18" s="1" t="s">
        <v>28</v>
      </c>
      <c r="C18" s="11"/>
      <c r="D18" s="11"/>
      <c r="E18" s="11">
        <v>216</v>
      </c>
      <c r="F18" s="11"/>
      <c r="G18" s="11">
        <f t="shared" si="0"/>
        <v>216</v>
      </c>
      <c r="H18" s="17">
        <f t="shared" si="1"/>
        <v>0.17</v>
      </c>
      <c r="I18" s="16">
        <f t="shared" si="2"/>
        <v>0</v>
      </c>
      <c r="J18" s="16">
        <f>ROUND(G18/239-1,2)</f>
        <v>-0.1</v>
      </c>
    </row>
    <row r="19" spans="1:10" x14ac:dyDescent="0.25">
      <c r="A19" s="1" t="s">
        <v>16</v>
      </c>
      <c r="B19" s="1" t="s">
        <v>30</v>
      </c>
      <c r="C19" s="11"/>
      <c r="D19" s="11"/>
      <c r="E19" s="11">
        <v>2240</v>
      </c>
      <c r="F19" s="11"/>
      <c r="G19" s="11">
        <f t="shared" si="0"/>
        <v>2240</v>
      </c>
      <c r="H19" s="17">
        <f t="shared" si="1"/>
        <v>1.77</v>
      </c>
      <c r="I19" s="16">
        <f t="shared" si="2"/>
        <v>5.0000000000000001E-3</v>
      </c>
      <c r="J19" s="16">
        <f>ROUND(G19/1590-1,2)</f>
        <v>0.41</v>
      </c>
    </row>
    <row r="20" spans="1:10" x14ac:dyDescent="0.25">
      <c r="A20" s="1" t="s">
        <v>16</v>
      </c>
      <c r="B20" s="1" t="s">
        <v>31</v>
      </c>
      <c r="C20" s="11"/>
      <c r="D20" s="11"/>
      <c r="E20" s="11">
        <v>400</v>
      </c>
      <c r="F20" s="11"/>
      <c r="G20" s="11">
        <f t="shared" si="0"/>
        <v>400</v>
      </c>
      <c r="H20" s="17">
        <f t="shared" si="1"/>
        <v>0.32</v>
      </c>
      <c r="I20" s="16">
        <f t="shared" si="2"/>
        <v>1E-3</v>
      </c>
      <c r="J20" s="16">
        <f>ROUND(G20/500-1,2)</f>
        <v>-0.2</v>
      </c>
    </row>
    <row r="21" spans="1:10" x14ac:dyDescent="0.25">
      <c r="A21" s="1" t="s">
        <v>16</v>
      </c>
      <c r="B21" s="1" t="s">
        <v>32</v>
      </c>
      <c r="C21" s="11"/>
      <c r="D21" s="11"/>
      <c r="E21" s="11">
        <v>640</v>
      </c>
      <c r="F21" s="11"/>
      <c r="G21" s="11">
        <f t="shared" si="0"/>
        <v>640</v>
      </c>
      <c r="H21" s="17">
        <f t="shared" si="1"/>
        <v>0.51</v>
      </c>
      <c r="I21" s="16">
        <f t="shared" si="2"/>
        <v>1E-3</v>
      </c>
      <c r="J21" s="16">
        <f>ROUND(G21/740-1,2)</f>
        <v>-0.14000000000000001</v>
      </c>
    </row>
    <row r="22" spans="1:10" x14ac:dyDescent="0.25">
      <c r="A22" s="1" t="s">
        <v>16</v>
      </c>
      <c r="B22" s="1" t="s">
        <v>33</v>
      </c>
      <c r="C22" s="11"/>
      <c r="D22" s="11"/>
      <c r="E22" s="11">
        <v>1008</v>
      </c>
      <c r="F22" s="11"/>
      <c r="G22" s="11">
        <f t="shared" si="0"/>
        <v>1008</v>
      </c>
      <c r="H22" s="17">
        <f t="shared" si="1"/>
        <v>0.8</v>
      </c>
      <c r="I22" s="16">
        <f t="shared" si="2"/>
        <v>2E-3</v>
      </c>
      <c r="J22" s="16">
        <f>ROUND(G22/800-1,2)</f>
        <v>0.26</v>
      </c>
    </row>
    <row r="23" spans="1:10" x14ac:dyDescent="0.25">
      <c r="A23" s="1" t="s">
        <v>16</v>
      </c>
      <c r="B23" s="1" t="s">
        <v>34</v>
      </c>
      <c r="C23" s="11"/>
      <c r="D23" s="11"/>
      <c r="E23" s="11">
        <v>80</v>
      </c>
      <c r="F23" s="11"/>
      <c r="G23" s="11">
        <f t="shared" si="0"/>
        <v>80</v>
      </c>
      <c r="H23" s="17">
        <f t="shared" si="1"/>
        <v>0.06</v>
      </c>
      <c r="I23" s="16">
        <f t="shared" si="2"/>
        <v>0</v>
      </c>
      <c r="J23" s="16">
        <f>ROUND(G23/89-1,2)</f>
        <v>-0.1</v>
      </c>
    </row>
    <row r="24" spans="1:10" x14ac:dyDescent="0.25">
      <c r="A24" s="1" t="s">
        <v>16</v>
      </c>
      <c r="B24" s="1" t="s">
        <v>35</v>
      </c>
      <c r="C24" s="11"/>
      <c r="D24" s="11"/>
      <c r="E24" s="11">
        <v>1515</v>
      </c>
      <c r="F24" s="11"/>
      <c r="G24" s="11">
        <f t="shared" si="0"/>
        <v>1515</v>
      </c>
      <c r="H24" s="17">
        <f t="shared" si="1"/>
        <v>1.2</v>
      </c>
      <c r="I24" s="16">
        <f t="shared" si="2"/>
        <v>3.0000000000000001E-3</v>
      </c>
      <c r="J24" s="16">
        <f>ROUND(G24/430-1,2)</f>
        <v>2.52</v>
      </c>
    </row>
    <row r="25" spans="1:10" x14ac:dyDescent="0.25">
      <c r="A25" s="1" t="s">
        <v>16</v>
      </c>
      <c r="B25" s="1" t="s">
        <v>37</v>
      </c>
      <c r="C25" s="11"/>
      <c r="D25" s="11"/>
      <c r="E25" s="11">
        <v>1460</v>
      </c>
      <c r="F25" s="11"/>
      <c r="G25" s="11">
        <f t="shared" si="0"/>
        <v>1460</v>
      </c>
      <c r="H25" s="17">
        <f t="shared" si="1"/>
        <v>1.1599999999999999</v>
      </c>
      <c r="I25" s="16">
        <f t="shared" si="2"/>
        <v>3.0000000000000001E-3</v>
      </c>
      <c r="J25" s="16">
        <f>ROUND(G25/960-1,2)</f>
        <v>0.52</v>
      </c>
    </row>
    <row r="26" spans="1:10" x14ac:dyDescent="0.25">
      <c r="A26" s="1" t="s">
        <v>16</v>
      </c>
      <c r="B26" s="1" t="s">
        <v>39</v>
      </c>
      <c r="C26" s="11"/>
      <c r="D26" s="11"/>
      <c r="E26" s="11">
        <v>3890</v>
      </c>
      <c r="F26" s="11"/>
      <c r="G26" s="11">
        <f t="shared" si="0"/>
        <v>3890</v>
      </c>
      <c r="H26" s="17">
        <f t="shared" si="1"/>
        <v>3.08</v>
      </c>
      <c r="I26" s="16">
        <f t="shared" si="2"/>
        <v>8.9999999999999993E-3</v>
      </c>
      <c r="J26" s="16">
        <f>ROUND(G26/3300-1,2)</f>
        <v>0.18</v>
      </c>
    </row>
    <row r="27" spans="1:10" x14ac:dyDescent="0.25">
      <c r="A27" s="1" t="s">
        <v>16</v>
      </c>
      <c r="B27" s="1" t="s">
        <v>38</v>
      </c>
      <c r="C27" s="11"/>
      <c r="D27" s="11"/>
      <c r="E27" s="11">
        <v>1870</v>
      </c>
      <c r="F27" s="11"/>
      <c r="G27" s="11">
        <f t="shared" si="0"/>
        <v>1870</v>
      </c>
      <c r="H27" s="17">
        <f t="shared" si="1"/>
        <v>1.48</v>
      </c>
      <c r="I27" s="16">
        <f t="shared" si="2"/>
        <v>4.0000000000000001E-3</v>
      </c>
      <c r="J27" s="16">
        <f>ROUND(G27/2850-1,2)</f>
        <v>-0.34</v>
      </c>
    </row>
    <row r="28" spans="1:10" x14ac:dyDescent="0.25">
      <c r="A28" s="1" t="s">
        <v>16</v>
      </c>
      <c r="B28" s="1" t="s">
        <v>40</v>
      </c>
      <c r="C28" s="11"/>
      <c r="D28" s="11"/>
      <c r="E28" s="11">
        <v>28330</v>
      </c>
      <c r="F28" s="11"/>
      <c r="G28" s="11">
        <f t="shared" si="0"/>
        <v>28330</v>
      </c>
      <c r="H28" s="17">
        <f t="shared" si="1"/>
        <v>22.41</v>
      </c>
      <c r="I28" s="16">
        <f t="shared" si="2"/>
        <v>6.5000000000000002E-2</v>
      </c>
      <c r="J28" s="16">
        <f>ROUND(G28/33185-1,2)</f>
        <v>-0.15</v>
      </c>
    </row>
    <row r="29" spans="1:10" x14ac:dyDescent="0.25">
      <c r="A29" s="1" t="s">
        <v>16</v>
      </c>
      <c r="B29" s="1" t="s">
        <v>42</v>
      </c>
      <c r="C29" s="11"/>
      <c r="D29" s="11"/>
      <c r="E29" s="11">
        <v>16230</v>
      </c>
      <c r="F29" s="11"/>
      <c r="G29" s="11">
        <f t="shared" si="0"/>
        <v>16230</v>
      </c>
      <c r="H29" s="17">
        <f t="shared" si="1"/>
        <v>12.84</v>
      </c>
      <c r="I29" s="16">
        <f t="shared" si="2"/>
        <v>3.6999999999999998E-2</v>
      </c>
      <c r="J29" s="16">
        <f>ROUND(G29/12200-1,2)</f>
        <v>0.33</v>
      </c>
    </row>
    <row r="30" spans="1:10" x14ac:dyDescent="0.25">
      <c r="A30" s="1" t="s">
        <v>16</v>
      </c>
      <c r="B30" s="1" t="s">
        <v>44</v>
      </c>
      <c r="C30" s="11"/>
      <c r="D30" s="11"/>
      <c r="E30" s="11">
        <v>11280</v>
      </c>
      <c r="F30" s="11"/>
      <c r="G30" s="11">
        <f t="shared" si="0"/>
        <v>11280</v>
      </c>
      <c r="H30" s="17">
        <f t="shared" si="1"/>
        <v>8.92</v>
      </c>
      <c r="I30" s="16">
        <f t="shared" si="2"/>
        <v>2.5999999999999999E-2</v>
      </c>
      <c r="J30" s="16">
        <f>ROUND(G30/8075-1,2)</f>
        <v>0.4</v>
      </c>
    </row>
    <row r="31" spans="1:10" x14ac:dyDescent="0.25">
      <c r="A31" s="1" t="s">
        <v>16</v>
      </c>
      <c r="B31" s="1" t="s">
        <v>121</v>
      </c>
      <c r="C31" s="11"/>
      <c r="D31" s="11"/>
      <c r="E31" s="11"/>
      <c r="F31" s="11"/>
      <c r="G31" s="11">
        <f t="shared" si="0"/>
        <v>0</v>
      </c>
      <c r="H31" s="17">
        <f t="shared" si="1"/>
        <v>0</v>
      </c>
      <c r="I31" s="16">
        <f t="shared" si="2"/>
        <v>0</v>
      </c>
      <c r="J31" s="16"/>
    </row>
    <row r="32" spans="1:10" x14ac:dyDescent="0.25">
      <c r="A32" s="1" t="s">
        <v>16</v>
      </c>
      <c r="B32" s="1" t="s">
        <v>36</v>
      </c>
      <c r="C32" s="11"/>
      <c r="D32" s="11"/>
      <c r="E32" s="11"/>
      <c r="F32" s="11"/>
      <c r="G32" s="11">
        <f t="shared" si="0"/>
        <v>0</v>
      </c>
      <c r="H32" s="17">
        <f t="shared" si="1"/>
        <v>0</v>
      </c>
      <c r="I32" s="16">
        <f t="shared" si="2"/>
        <v>0</v>
      </c>
      <c r="J32" s="16"/>
    </row>
    <row r="33" spans="1:10" x14ac:dyDescent="0.25">
      <c r="A33" s="1" t="s">
        <v>16</v>
      </c>
      <c r="B33" s="1" t="s">
        <v>41</v>
      </c>
      <c r="C33" s="11"/>
      <c r="D33" s="11"/>
      <c r="E33" s="11"/>
      <c r="F33" s="11"/>
      <c r="G33" s="11">
        <f t="shared" si="0"/>
        <v>0</v>
      </c>
      <c r="H33" s="17">
        <f t="shared" si="1"/>
        <v>0</v>
      </c>
      <c r="I33" s="16">
        <f t="shared" si="2"/>
        <v>0</v>
      </c>
      <c r="J33" s="16"/>
    </row>
    <row r="34" spans="1:10" x14ac:dyDescent="0.25">
      <c r="A34" s="1" t="s">
        <v>16</v>
      </c>
      <c r="B34" s="1" t="s">
        <v>22</v>
      </c>
      <c r="C34" s="11"/>
      <c r="D34" s="11"/>
      <c r="E34" s="11"/>
      <c r="F34" s="11"/>
      <c r="G34" s="11">
        <f t="shared" si="0"/>
        <v>0</v>
      </c>
      <c r="H34" s="17">
        <f t="shared" si="1"/>
        <v>0</v>
      </c>
      <c r="I34" s="16">
        <f t="shared" si="2"/>
        <v>0</v>
      </c>
      <c r="J34" s="16"/>
    </row>
    <row r="35" spans="1:10" x14ac:dyDescent="0.25">
      <c r="A35" s="1" t="s">
        <v>16</v>
      </c>
      <c r="B35" s="1" t="s">
        <v>156</v>
      </c>
      <c r="C35" s="11"/>
      <c r="D35" s="11"/>
      <c r="E35" s="11"/>
      <c r="F35" s="11"/>
      <c r="G35" s="11">
        <f t="shared" si="0"/>
        <v>0</v>
      </c>
      <c r="H35" s="17">
        <f t="shared" si="1"/>
        <v>0</v>
      </c>
      <c r="I35" s="16">
        <f t="shared" si="2"/>
        <v>0</v>
      </c>
      <c r="J35" s="16"/>
    </row>
    <row r="36" spans="1:10" x14ac:dyDescent="0.25">
      <c r="A36" s="1" t="s">
        <v>16</v>
      </c>
      <c r="B36" s="1" t="s">
        <v>29</v>
      </c>
      <c r="C36" s="11"/>
      <c r="D36" s="11"/>
      <c r="E36" s="11"/>
      <c r="F36" s="11"/>
      <c r="G36" s="11">
        <f t="shared" si="0"/>
        <v>0</v>
      </c>
      <c r="H36" s="17">
        <f t="shared" si="1"/>
        <v>0</v>
      </c>
      <c r="I36" s="16">
        <f t="shared" si="2"/>
        <v>0</v>
      </c>
      <c r="J36" s="16"/>
    </row>
    <row r="37" spans="1:10" x14ac:dyDescent="0.25">
      <c r="A37" s="1" t="s">
        <v>45</v>
      </c>
      <c r="B37" s="1" t="s">
        <v>46</v>
      </c>
      <c r="C37" s="11">
        <v>117290</v>
      </c>
      <c r="D37" s="11"/>
      <c r="E37" s="11"/>
      <c r="F37" s="11"/>
      <c r="G37" s="11">
        <f t="shared" si="0"/>
        <v>117290</v>
      </c>
      <c r="H37" s="17">
        <f t="shared" si="1"/>
        <v>92.79</v>
      </c>
      <c r="I37" s="16">
        <f t="shared" si="2"/>
        <v>0.26800000000000002</v>
      </c>
      <c r="J37" s="16">
        <f>ROUND(G37/106840-1,2)</f>
        <v>0.1</v>
      </c>
    </row>
    <row r="38" spans="1:10" x14ac:dyDescent="0.25">
      <c r="A38" s="1" t="s">
        <v>45</v>
      </c>
      <c r="B38" s="1" t="s">
        <v>47</v>
      </c>
      <c r="C38" s="11"/>
      <c r="D38" s="11"/>
      <c r="E38" s="11">
        <v>30250</v>
      </c>
      <c r="F38" s="11"/>
      <c r="G38" s="11">
        <f t="shared" si="0"/>
        <v>30250</v>
      </c>
      <c r="H38" s="17">
        <f t="shared" si="1"/>
        <v>23.93</v>
      </c>
      <c r="I38" s="16">
        <f t="shared" si="2"/>
        <v>6.9000000000000006E-2</v>
      </c>
      <c r="J38" s="16">
        <f>ROUND(G38/32400-1,2)</f>
        <v>-7.0000000000000007E-2</v>
      </c>
    </row>
    <row r="39" spans="1:10" x14ac:dyDescent="0.25">
      <c r="A39" s="1" t="s">
        <v>45</v>
      </c>
      <c r="B39" s="1" t="s">
        <v>48</v>
      </c>
      <c r="C39" s="11"/>
      <c r="D39" s="11"/>
      <c r="E39" s="11"/>
      <c r="F39" s="11"/>
      <c r="G39" s="11">
        <f t="shared" si="0"/>
        <v>0</v>
      </c>
      <c r="H39" s="17">
        <f t="shared" si="1"/>
        <v>0</v>
      </c>
      <c r="I39" s="16">
        <f t="shared" si="2"/>
        <v>0</v>
      </c>
      <c r="J39" s="16"/>
    </row>
    <row r="40" spans="1:10" x14ac:dyDescent="0.25">
      <c r="A40" s="1" t="s">
        <v>49</v>
      </c>
      <c r="B40" s="1" t="s">
        <v>52</v>
      </c>
      <c r="C40" s="11"/>
      <c r="D40" s="11"/>
      <c r="E40" s="11"/>
      <c r="F40" s="11"/>
      <c r="G40" s="11">
        <f t="shared" si="0"/>
        <v>0</v>
      </c>
      <c r="H40" s="17">
        <f t="shared" si="1"/>
        <v>0</v>
      </c>
      <c r="I40" s="16">
        <f t="shared" si="2"/>
        <v>0</v>
      </c>
      <c r="J40" s="16"/>
    </row>
    <row r="41" spans="1:10" x14ac:dyDescent="0.25">
      <c r="A41" s="1" t="s">
        <v>49</v>
      </c>
      <c r="B41" s="1" t="s">
        <v>50</v>
      </c>
      <c r="C41" s="11"/>
      <c r="D41" s="11"/>
      <c r="E41" s="11"/>
      <c r="F41" s="11"/>
      <c r="G41" s="11">
        <f t="shared" si="0"/>
        <v>0</v>
      </c>
      <c r="H41" s="17">
        <f t="shared" si="1"/>
        <v>0</v>
      </c>
      <c r="I41" s="16">
        <f t="shared" si="2"/>
        <v>0</v>
      </c>
      <c r="J41" s="16"/>
    </row>
    <row r="42" spans="1:10" x14ac:dyDescent="0.25">
      <c r="A42" s="26" t="s">
        <v>12</v>
      </c>
      <c r="B42" s="26"/>
      <c r="C42" s="12">
        <f t="shared" ref="C42:H42" si="3">SUM(C8:C41)</f>
        <v>294840</v>
      </c>
      <c r="D42" s="12">
        <f t="shared" si="3"/>
        <v>0</v>
      </c>
      <c r="E42" s="12">
        <f t="shared" si="3"/>
        <v>143253</v>
      </c>
      <c r="F42" s="12">
        <f t="shared" si="3"/>
        <v>0</v>
      </c>
      <c r="G42" s="12">
        <f t="shared" si="3"/>
        <v>438093</v>
      </c>
      <c r="H42" s="15">
        <f t="shared" si="3"/>
        <v>346.59</v>
      </c>
      <c r="I42" s="18"/>
      <c r="J42" s="18"/>
    </row>
    <row r="43" spans="1:10" x14ac:dyDescent="0.25">
      <c r="A43" s="26" t="s">
        <v>14</v>
      </c>
      <c r="B43" s="26"/>
      <c r="C43" s="13">
        <f>ROUND(C42/G42,2)</f>
        <v>0.67</v>
      </c>
      <c r="D43" s="13">
        <f>ROUND(D42/G42,2)</f>
        <v>0</v>
      </c>
      <c r="E43" s="13">
        <f>ROUND(E42/G42,2)</f>
        <v>0.33</v>
      </c>
      <c r="F43" s="13">
        <f>ROUND(F42/G42,2)</f>
        <v>0</v>
      </c>
      <c r="G43" s="14"/>
      <c r="H43" s="14"/>
      <c r="I43" s="18"/>
      <c r="J43" s="18"/>
    </row>
    <row r="44" spans="1:10" x14ac:dyDescent="0.25">
      <c r="A44" s="2" t="s">
        <v>53</v>
      </c>
      <c r="B44" s="2"/>
      <c r="C44" s="14"/>
      <c r="D44" s="14"/>
      <c r="E44" s="14"/>
      <c r="F44" s="14"/>
      <c r="G44" s="14"/>
      <c r="H44" s="14"/>
      <c r="I44" s="18"/>
      <c r="J44" s="18"/>
    </row>
    <row r="45" spans="1:10" x14ac:dyDescent="0.25">
      <c r="C45" s="9"/>
      <c r="D45" s="9"/>
      <c r="E45" s="9"/>
      <c r="F45" s="9"/>
      <c r="G45" s="9"/>
      <c r="H45" s="9"/>
      <c r="I45" s="10"/>
      <c r="J45" s="10"/>
    </row>
    <row r="46" spans="1:10" x14ac:dyDescent="0.25">
      <c r="C46" s="9"/>
      <c r="D46" s="9"/>
      <c r="E46" s="9"/>
      <c r="F46" s="9"/>
      <c r="G46" s="9"/>
      <c r="H46" s="9"/>
      <c r="I46" s="10"/>
      <c r="J46" s="10"/>
    </row>
    <row r="47" spans="1:10" x14ac:dyDescent="0.25">
      <c r="C47" s="9"/>
      <c r="D47" s="9"/>
      <c r="E47" s="9"/>
      <c r="F47" s="9"/>
      <c r="G47" s="9"/>
      <c r="H47" s="9"/>
      <c r="I47" s="10"/>
      <c r="J47" s="10"/>
    </row>
    <row r="48" spans="1:10" x14ac:dyDescent="0.25">
      <c r="A48" s="26" t="s">
        <v>54</v>
      </c>
      <c r="B48" s="26"/>
      <c r="C48" s="12" t="s">
        <v>8</v>
      </c>
      <c r="D48" s="12" t="s">
        <v>9</v>
      </c>
      <c r="E48" s="12" t="s">
        <v>10</v>
      </c>
      <c r="F48" s="12" t="s">
        <v>11</v>
      </c>
      <c r="G48" s="12" t="s">
        <v>12</v>
      </c>
      <c r="H48" s="15" t="s">
        <v>13</v>
      </c>
      <c r="I48" s="18"/>
      <c r="J48" s="18"/>
    </row>
    <row r="49" spans="1:10" x14ac:dyDescent="0.25">
      <c r="A49" s="21" t="s">
        <v>55</v>
      </c>
      <c r="B49" s="21"/>
      <c r="C49" s="11">
        <v>177550</v>
      </c>
      <c r="D49" s="11">
        <v>0</v>
      </c>
      <c r="E49" s="11">
        <v>113003</v>
      </c>
      <c r="F49" s="11">
        <v>0</v>
      </c>
      <c r="G49" s="11">
        <f>SUM(C49:F49)</f>
        <v>290553</v>
      </c>
      <c r="H49" s="17">
        <f>ROUND(G49/1264,2)</f>
        <v>229.87</v>
      </c>
      <c r="I49" s="10"/>
      <c r="J49" s="10"/>
    </row>
    <row r="50" spans="1:10" x14ac:dyDescent="0.25">
      <c r="A50" s="21" t="s">
        <v>56</v>
      </c>
      <c r="B50" s="21"/>
      <c r="C50" s="11">
        <v>117290</v>
      </c>
      <c r="D50" s="11">
        <v>0</v>
      </c>
      <c r="E50" s="11">
        <v>30250</v>
      </c>
      <c r="F50" s="11">
        <v>0</v>
      </c>
      <c r="G50" s="11">
        <f>SUM(C50:F50)</f>
        <v>147540</v>
      </c>
      <c r="H50" s="17">
        <f>ROUND(G50/1264,2)</f>
        <v>116.72</v>
      </c>
      <c r="I50" s="10"/>
      <c r="J50" s="10"/>
    </row>
    <row r="51" spans="1:10" x14ac:dyDescent="0.25">
      <c r="A51" s="21" t="s">
        <v>57</v>
      </c>
      <c r="B51" s="21"/>
      <c r="C51" s="11">
        <v>0</v>
      </c>
      <c r="D51" s="11">
        <v>0</v>
      </c>
      <c r="E51" s="11">
        <v>0</v>
      </c>
      <c r="F51" s="11">
        <v>0</v>
      </c>
      <c r="G51" s="11">
        <f>SUM(C51:F51)</f>
        <v>0</v>
      </c>
      <c r="H51" s="17">
        <f>ROUND(G51/1264,2)</f>
        <v>0</v>
      </c>
      <c r="I51" s="10"/>
      <c r="J51" s="10"/>
    </row>
    <row r="52" spans="1:10" x14ac:dyDescent="0.25">
      <c r="C52" s="9"/>
      <c r="D52" s="9"/>
      <c r="E52" s="9"/>
      <c r="F52" s="9"/>
      <c r="G52" s="9"/>
      <c r="H52" s="9"/>
      <c r="I52" s="10"/>
      <c r="J52" s="10"/>
    </row>
    <row r="53" spans="1:10" x14ac:dyDescent="0.25">
      <c r="C53" s="9"/>
      <c r="D53" s="9"/>
      <c r="E53" s="9"/>
      <c r="F53" s="9"/>
      <c r="G53" s="9"/>
      <c r="H53" s="9"/>
      <c r="I53" s="10"/>
      <c r="J53" s="10"/>
    </row>
    <row r="54" spans="1:10" x14ac:dyDescent="0.25">
      <c r="C54" s="9"/>
      <c r="D54" s="9"/>
      <c r="E54" s="9"/>
      <c r="F54" s="9"/>
      <c r="G54" s="9"/>
      <c r="H54" s="9"/>
      <c r="I54" s="10"/>
      <c r="J54" s="10"/>
    </row>
    <row r="55" spans="1:10" x14ac:dyDescent="0.25">
      <c r="C55" s="9"/>
      <c r="D55" s="9"/>
      <c r="E55" s="9"/>
      <c r="F55" s="9"/>
      <c r="G55" s="9"/>
      <c r="H55" s="9"/>
      <c r="I55" s="10"/>
      <c r="J55" s="10"/>
    </row>
    <row r="56" spans="1:10" x14ac:dyDescent="0.25">
      <c r="A56" s="26" t="s">
        <v>58</v>
      </c>
      <c r="B56" s="26"/>
      <c r="C56" s="15" t="s">
        <v>2</v>
      </c>
      <c r="D56" s="15">
        <v>2024</v>
      </c>
      <c r="E56" s="15" t="s">
        <v>60</v>
      </c>
      <c r="F56" s="14"/>
      <c r="G56" s="15" t="s">
        <v>61</v>
      </c>
      <c r="H56" s="15" t="s">
        <v>2</v>
      </c>
      <c r="I56" s="13" t="s">
        <v>62</v>
      </c>
      <c r="J56" s="13" t="s">
        <v>60</v>
      </c>
    </row>
    <row r="57" spans="1:10" x14ac:dyDescent="0.25">
      <c r="A57" s="21" t="s">
        <v>59</v>
      </c>
      <c r="B57" s="21"/>
      <c r="C57" s="16">
        <f>ROUND(0.7036, 4)</f>
        <v>0.7036</v>
      </c>
      <c r="D57" s="16">
        <f>ROUND(0.7109, 4)</f>
        <v>0.71089999999999998</v>
      </c>
      <c r="E57" s="16">
        <f>ROUND(0.7856, 4)</f>
        <v>0.78559999999999997</v>
      </c>
      <c r="F57" s="9"/>
      <c r="G57" s="15" t="s">
        <v>63</v>
      </c>
      <c r="H57" s="27" t="s">
        <v>64</v>
      </c>
      <c r="I57" s="24" t="s">
        <v>65</v>
      </c>
      <c r="J57" s="24" t="s">
        <v>66</v>
      </c>
    </row>
    <row r="58" spans="1:10" x14ac:dyDescent="0.25">
      <c r="A58" s="21" t="s">
        <v>67</v>
      </c>
      <c r="B58" s="21"/>
      <c r="C58" s="16">
        <f>ROUND(0.7036, 4)</f>
        <v>0.7036</v>
      </c>
      <c r="D58" s="16">
        <f>ROUND(0.6728, 4)</f>
        <v>0.67279999999999995</v>
      </c>
      <c r="E58" s="16">
        <f>ROUND(0.7702, 4)</f>
        <v>0.7702</v>
      </c>
      <c r="F58" s="9"/>
      <c r="G58" s="15" t="s">
        <v>68</v>
      </c>
      <c r="H58" s="28"/>
      <c r="I58" s="25"/>
      <c r="J58" s="25"/>
    </row>
    <row r="59" spans="1:10" x14ac:dyDescent="0.25">
      <c r="C59" s="9"/>
      <c r="D59" s="9"/>
      <c r="E59" s="9"/>
      <c r="F59" s="9"/>
      <c r="G59" s="9"/>
      <c r="H59" s="9"/>
      <c r="I59" s="10"/>
      <c r="J59" s="10"/>
    </row>
    <row r="60" spans="1:10" x14ac:dyDescent="0.25">
      <c r="C60" s="9"/>
      <c r="D60" s="9"/>
      <c r="E60" s="9"/>
      <c r="F60" s="9"/>
      <c r="G60" s="9"/>
      <c r="H60" s="9"/>
      <c r="I60" s="10"/>
      <c r="J60" s="10"/>
    </row>
    <row r="61" spans="1:10" x14ac:dyDescent="0.25">
      <c r="C61" s="9"/>
      <c r="D61" s="9"/>
      <c r="E61" s="9"/>
      <c r="F61" s="9"/>
      <c r="G61" s="9"/>
      <c r="H61" s="9"/>
      <c r="I61" s="10"/>
      <c r="J61" s="10"/>
    </row>
    <row r="62" spans="1:10" x14ac:dyDescent="0.25">
      <c r="A62" s="26" t="s">
        <v>69</v>
      </c>
      <c r="B62" s="26"/>
      <c r="C62" s="15" t="s">
        <v>2</v>
      </c>
      <c r="D62" s="15" t="s">
        <v>157</v>
      </c>
      <c r="E62" s="15" t="s">
        <v>71</v>
      </c>
      <c r="F62" s="15" t="s">
        <v>72</v>
      </c>
      <c r="G62" s="15" t="s">
        <v>73</v>
      </c>
      <c r="H62" s="14"/>
      <c r="I62" s="18"/>
      <c r="J62" s="18"/>
    </row>
    <row r="63" spans="1:10" x14ac:dyDescent="0.25">
      <c r="A63" s="21" t="s">
        <v>74</v>
      </c>
      <c r="B63" s="21"/>
      <c r="C63" s="17">
        <v>92.79</v>
      </c>
      <c r="D63" s="17">
        <v>78.05</v>
      </c>
      <c r="E63" s="17">
        <v>96.15</v>
      </c>
      <c r="F63" s="17">
        <v>57.94</v>
      </c>
      <c r="G63" s="17">
        <f>12/12*C63</f>
        <v>92.79</v>
      </c>
      <c r="H63" s="9"/>
      <c r="I63" s="10"/>
      <c r="J63" s="10"/>
    </row>
    <row r="64" spans="1:10" x14ac:dyDescent="0.25">
      <c r="A64" s="21" t="s">
        <v>75</v>
      </c>
      <c r="B64" s="21"/>
      <c r="C64" s="17">
        <v>37.369999999999997</v>
      </c>
      <c r="D64" s="17">
        <v>42.08</v>
      </c>
      <c r="E64" s="17">
        <v>62.28</v>
      </c>
      <c r="F64" s="17">
        <v>66.599999999999994</v>
      </c>
      <c r="G64" s="17">
        <f>12/12*C64</f>
        <v>37.369999999999997</v>
      </c>
      <c r="H64" s="9"/>
      <c r="I64" s="10"/>
      <c r="J64" s="10"/>
    </row>
    <row r="65" spans="1:10" x14ac:dyDescent="0.25">
      <c r="A65" s="21" t="s">
        <v>76</v>
      </c>
      <c r="B65" s="21"/>
      <c r="C65" s="17">
        <v>229.87</v>
      </c>
      <c r="D65" s="17">
        <v>232.87</v>
      </c>
      <c r="E65" s="17">
        <v>300.02</v>
      </c>
      <c r="F65" s="17">
        <v>295.08</v>
      </c>
      <c r="G65" s="17">
        <f>12/12*C65</f>
        <v>229.87</v>
      </c>
      <c r="H65" s="9"/>
      <c r="I65" s="10"/>
      <c r="J65" s="10"/>
    </row>
    <row r="66" spans="1:10" x14ac:dyDescent="0.25">
      <c r="A66" s="21" t="s">
        <v>77</v>
      </c>
      <c r="B66" s="21"/>
      <c r="C66" s="17">
        <v>116.72</v>
      </c>
      <c r="D66" s="17">
        <v>102.89</v>
      </c>
      <c r="E66" s="17">
        <v>120.96</v>
      </c>
      <c r="F66" s="17">
        <v>83.12</v>
      </c>
      <c r="G66" s="17">
        <f>12/12*C66</f>
        <v>116.72</v>
      </c>
      <c r="H66" s="9"/>
      <c r="I66" s="10"/>
      <c r="J66" s="10"/>
    </row>
    <row r="67" spans="1:10" x14ac:dyDescent="0.25">
      <c r="C67" s="9"/>
      <c r="D67" s="9"/>
      <c r="E67" s="9"/>
      <c r="F67" s="9"/>
      <c r="G67" s="9"/>
      <c r="H67" s="9"/>
      <c r="I67" s="10"/>
      <c r="J67" s="10"/>
    </row>
    <row r="68" spans="1:10" x14ac:dyDescent="0.25">
      <c r="C68" s="9"/>
      <c r="D68" s="9"/>
      <c r="E68" s="9"/>
      <c r="F68" s="9"/>
      <c r="G68" s="9"/>
      <c r="H68" s="9"/>
      <c r="I68" s="10"/>
      <c r="J68" s="10"/>
    </row>
    <row r="69" spans="1:10" x14ac:dyDescent="0.25">
      <c r="A69" s="22" t="s">
        <v>61</v>
      </c>
      <c r="B69" s="23"/>
      <c r="C69" s="9"/>
      <c r="D69" s="9"/>
      <c r="E69" s="9"/>
      <c r="F69" s="9"/>
      <c r="G69" s="9"/>
      <c r="H69" s="9"/>
      <c r="I69" s="10"/>
      <c r="J69" s="10"/>
    </row>
    <row r="70" spans="1:10" x14ac:dyDescent="0.25">
      <c r="A70" s="3" t="s">
        <v>78</v>
      </c>
      <c r="B70" s="1" t="s">
        <v>158</v>
      </c>
      <c r="C70" s="9"/>
      <c r="D70" s="9"/>
      <c r="E70" s="9"/>
      <c r="F70" s="9"/>
      <c r="G70" s="9"/>
      <c r="H70" s="9"/>
      <c r="I70" s="10"/>
      <c r="J70" s="10"/>
    </row>
    <row r="71" spans="1:10" x14ac:dyDescent="0.25">
      <c r="A71" s="3" t="s">
        <v>71</v>
      </c>
      <c r="B71" s="1" t="s">
        <v>80</v>
      </c>
      <c r="C71" s="9"/>
      <c r="D71" s="9"/>
      <c r="E71" s="9"/>
      <c r="F71" s="9"/>
      <c r="G71" s="9"/>
      <c r="H71" s="9"/>
      <c r="I71" s="10"/>
      <c r="J71" s="10"/>
    </row>
    <row r="72" spans="1:10" x14ac:dyDescent="0.25">
      <c r="A72" s="3" t="s">
        <v>72</v>
      </c>
      <c r="B72" s="1" t="s">
        <v>81</v>
      </c>
      <c r="C72" s="9"/>
      <c r="D72" s="9"/>
      <c r="E72" s="9"/>
      <c r="F72" s="9"/>
      <c r="G72" s="9"/>
      <c r="H72" s="9"/>
      <c r="I72" s="10"/>
      <c r="J72" s="10"/>
    </row>
    <row r="73" spans="1:10" x14ac:dyDescent="0.25">
      <c r="A73" s="3" t="s">
        <v>73</v>
      </c>
      <c r="B73" s="1" t="s">
        <v>82</v>
      </c>
      <c r="C73" s="9"/>
      <c r="D73" s="9"/>
      <c r="E73" s="9"/>
      <c r="F73" s="9"/>
      <c r="G73" s="9"/>
      <c r="H73" s="9"/>
      <c r="I73" s="10"/>
      <c r="J73" s="10"/>
    </row>
    <row r="74" spans="1:10" x14ac:dyDescent="0.25">
      <c r="C74" s="9"/>
      <c r="D74" s="9"/>
      <c r="E74" s="9"/>
      <c r="F74" s="9"/>
      <c r="G74" s="9"/>
      <c r="H74" s="9"/>
      <c r="I74" s="10"/>
      <c r="J74" s="10"/>
    </row>
    <row r="75" spans="1:10" x14ac:dyDescent="0.25">
      <c r="C75" s="9"/>
      <c r="D75" s="9"/>
      <c r="E75" s="9"/>
      <c r="F75" s="9"/>
      <c r="G75" s="9"/>
      <c r="H75" s="9"/>
      <c r="I75" s="10"/>
      <c r="J75" s="10"/>
    </row>
    <row r="76" spans="1:10" x14ac:dyDescent="0.25">
      <c r="C76" s="9"/>
      <c r="D76" s="9"/>
      <c r="E76" s="9"/>
      <c r="F76" s="9"/>
      <c r="G76" s="9"/>
      <c r="H76" s="9"/>
      <c r="I76" s="10"/>
      <c r="J76" s="10"/>
    </row>
    <row r="77" spans="1:10" x14ac:dyDescent="0.25">
      <c r="C77" s="9"/>
      <c r="D77" s="9"/>
      <c r="E77" s="9"/>
      <c r="F77" s="9"/>
      <c r="G77" s="9"/>
      <c r="H77" s="9"/>
      <c r="I77" s="10"/>
      <c r="J77" s="10"/>
    </row>
  </sheetData>
  <mergeCells count="19">
    <mergeCell ref="C7:G7"/>
    <mergeCell ref="A42:B42"/>
    <mergeCell ref="A43:B43"/>
    <mergeCell ref="A48:B48"/>
    <mergeCell ref="A49:B49"/>
    <mergeCell ref="J57:J58"/>
    <mergeCell ref="A58:B58"/>
    <mergeCell ref="A62:B62"/>
    <mergeCell ref="A63:B63"/>
    <mergeCell ref="A50:B50"/>
    <mergeCell ref="A51:B51"/>
    <mergeCell ref="A56:B56"/>
    <mergeCell ref="A57:B57"/>
    <mergeCell ref="H57:H58"/>
    <mergeCell ref="A64:B64"/>
    <mergeCell ref="A65:B65"/>
    <mergeCell ref="A66:B66"/>
    <mergeCell ref="A69:B69"/>
    <mergeCell ref="I57:I58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J77"/>
  <sheetViews>
    <sheetView workbookViewId="0">
      <selection activeCell="H5" sqref="H5"/>
    </sheetView>
  </sheetViews>
  <sheetFormatPr defaultRowHeight="15" x14ac:dyDescent="0.25"/>
  <cols>
    <col min="1" max="1" width="28.42578125" bestFit="1" customWidth="1"/>
    <col min="2" max="2" width="59.5703125" bestFit="1" customWidth="1"/>
    <col min="3" max="3" width="12.7109375" bestFit="1" customWidth="1"/>
    <col min="4" max="4" width="23.5703125" bestFit="1" customWidth="1"/>
    <col min="5" max="5" width="13.85546875" bestFit="1" customWidth="1"/>
    <col min="6" max="6" width="8.5703125" bestFit="1" customWidth="1"/>
    <col min="7" max="7" width="47.7109375" bestFit="1" customWidth="1"/>
    <col min="8" max="9" width="16.7109375" bestFit="1" customWidth="1"/>
    <col min="10" max="10" width="24.42578125" bestFit="1" customWidth="1"/>
  </cols>
  <sheetData>
    <row r="2" spans="1:10" ht="18.75" x14ac:dyDescent="0.3">
      <c r="A2" s="3" t="s">
        <v>0</v>
      </c>
      <c r="B2" s="4" t="s">
        <v>159</v>
      </c>
    </row>
    <row r="3" spans="1:10" x14ac:dyDescent="0.25">
      <c r="A3" s="3" t="s">
        <v>2</v>
      </c>
      <c r="B3" s="1" t="s">
        <v>3</v>
      </c>
    </row>
    <row r="4" spans="1:10" x14ac:dyDescent="0.25">
      <c r="A4" s="3" t="s">
        <v>4</v>
      </c>
      <c r="B4" s="20">
        <v>5993</v>
      </c>
    </row>
    <row r="7" spans="1:10" x14ac:dyDescent="0.25">
      <c r="C7" s="22" t="s">
        <v>5</v>
      </c>
      <c r="D7" s="21"/>
      <c r="E7" s="21"/>
      <c r="F7" s="21"/>
      <c r="G7" s="21"/>
    </row>
    <row r="8" spans="1:10" x14ac:dyDescent="0.25">
      <c r="A8" s="3" t="s">
        <v>6</v>
      </c>
      <c r="B8" s="3" t="s">
        <v>7</v>
      </c>
      <c r="C8" s="15" t="s">
        <v>8</v>
      </c>
      <c r="D8" s="15" t="s">
        <v>9</v>
      </c>
      <c r="E8" s="15" t="s">
        <v>10</v>
      </c>
      <c r="F8" s="15" t="s">
        <v>11</v>
      </c>
      <c r="G8" s="15" t="s">
        <v>12</v>
      </c>
      <c r="H8" s="15" t="s">
        <v>13</v>
      </c>
      <c r="I8" s="15" t="s">
        <v>14</v>
      </c>
      <c r="J8" s="15" t="s">
        <v>15</v>
      </c>
    </row>
    <row r="9" spans="1:10" x14ac:dyDescent="0.25">
      <c r="A9" s="1" t="s">
        <v>16</v>
      </c>
      <c r="B9" s="1" t="s">
        <v>17</v>
      </c>
      <c r="C9" s="11"/>
      <c r="D9" s="11"/>
      <c r="E9" s="11">
        <v>191</v>
      </c>
      <c r="F9" s="11"/>
      <c r="G9" s="11">
        <f t="shared" ref="G9:G45" si="0">SUM(C9:F9)</f>
        <v>191</v>
      </c>
      <c r="H9" s="17">
        <f t="shared" ref="H9:H45" si="1">ROUND(G9/5993,2)</f>
        <v>0.03</v>
      </c>
      <c r="I9" s="16">
        <f t="shared" ref="I9:I45" si="2">ROUND(G9/$G$46,3)</f>
        <v>0</v>
      </c>
      <c r="J9" s="16">
        <f>ROUND(G9/186-1,2)</f>
        <v>0.03</v>
      </c>
    </row>
    <row r="10" spans="1:10" x14ac:dyDescent="0.25">
      <c r="A10" s="1" t="s">
        <v>16</v>
      </c>
      <c r="B10" s="1" t="s">
        <v>19</v>
      </c>
      <c r="C10" s="11">
        <v>218920</v>
      </c>
      <c r="D10" s="11"/>
      <c r="E10" s="11">
        <v>4440</v>
      </c>
      <c r="F10" s="11"/>
      <c r="G10" s="11">
        <f t="shared" si="0"/>
        <v>223360</v>
      </c>
      <c r="H10" s="17">
        <f t="shared" si="1"/>
        <v>37.270000000000003</v>
      </c>
      <c r="I10" s="16">
        <f t="shared" si="2"/>
        <v>7.4999999999999997E-2</v>
      </c>
      <c r="J10" s="16">
        <f>ROUND(G10/221640-1,2)</f>
        <v>0.01</v>
      </c>
    </row>
    <row r="11" spans="1:10" x14ac:dyDescent="0.25">
      <c r="A11" s="1" t="s">
        <v>16</v>
      </c>
      <c r="B11" s="1" t="s">
        <v>20</v>
      </c>
      <c r="C11" s="11">
        <v>282490</v>
      </c>
      <c r="D11" s="11"/>
      <c r="E11" s="11"/>
      <c r="F11" s="11"/>
      <c r="G11" s="11">
        <f t="shared" si="0"/>
        <v>282490</v>
      </c>
      <c r="H11" s="17">
        <f t="shared" si="1"/>
        <v>47.14</v>
      </c>
      <c r="I11" s="16">
        <f t="shared" si="2"/>
        <v>9.5000000000000001E-2</v>
      </c>
      <c r="J11" s="16">
        <f>ROUND(G11/294400-1,2)</f>
        <v>-0.04</v>
      </c>
    </row>
    <row r="12" spans="1:10" x14ac:dyDescent="0.25">
      <c r="A12" s="1" t="s">
        <v>16</v>
      </c>
      <c r="B12" s="1" t="s">
        <v>87</v>
      </c>
      <c r="C12" s="11"/>
      <c r="D12" s="11"/>
      <c r="E12" s="11">
        <v>337</v>
      </c>
      <c r="F12" s="11"/>
      <c r="G12" s="11">
        <f t="shared" si="0"/>
        <v>337</v>
      </c>
      <c r="H12" s="17">
        <f t="shared" si="1"/>
        <v>0.06</v>
      </c>
      <c r="I12" s="16">
        <f t="shared" si="2"/>
        <v>0</v>
      </c>
      <c r="J12" s="16">
        <f>ROUND(G12/329-1,2)</f>
        <v>0.02</v>
      </c>
    </row>
    <row r="13" spans="1:10" x14ac:dyDescent="0.25">
      <c r="A13" s="1" t="s">
        <v>16</v>
      </c>
      <c r="B13" s="1" t="s">
        <v>21</v>
      </c>
      <c r="C13" s="11"/>
      <c r="D13" s="11"/>
      <c r="E13" s="11">
        <v>315</v>
      </c>
      <c r="F13" s="11"/>
      <c r="G13" s="11">
        <f t="shared" si="0"/>
        <v>315</v>
      </c>
      <c r="H13" s="17">
        <f t="shared" si="1"/>
        <v>0.05</v>
      </c>
      <c r="I13" s="16">
        <f t="shared" si="2"/>
        <v>0</v>
      </c>
      <c r="J13" s="16">
        <f>ROUND(G13/194-1,2)</f>
        <v>0.62</v>
      </c>
    </row>
    <row r="14" spans="1:10" x14ac:dyDescent="0.25">
      <c r="A14" s="1" t="s">
        <v>16</v>
      </c>
      <c r="B14" s="1" t="s">
        <v>22</v>
      </c>
      <c r="C14" s="11"/>
      <c r="D14" s="11"/>
      <c r="E14" s="11">
        <v>1840</v>
      </c>
      <c r="F14" s="11"/>
      <c r="G14" s="11">
        <f t="shared" si="0"/>
        <v>1840</v>
      </c>
      <c r="H14" s="17">
        <f t="shared" si="1"/>
        <v>0.31</v>
      </c>
      <c r="I14" s="16">
        <f t="shared" si="2"/>
        <v>1E-3</v>
      </c>
      <c r="J14" s="16">
        <f>ROUND(G14/2600-1,2)</f>
        <v>-0.28999999999999998</v>
      </c>
    </row>
    <row r="15" spans="1:10" x14ac:dyDescent="0.25">
      <c r="A15" s="1" t="s">
        <v>16</v>
      </c>
      <c r="B15" s="1" t="s">
        <v>23</v>
      </c>
      <c r="C15" s="11"/>
      <c r="D15" s="11"/>
      <c r="E15" s="11">
        <v>79800</v>
      </c>
      <c r="F15" s="11"/>
      <c r="G15" s="11">
        <f t="shared" si="0"/>
        <v>79800</v>
      </c>
      <c r="H15" s="17">
        <f t="shared" si="1"/>
        <v>13.32</v>
      </c>
      <c r="I15" s="16">
        <f t="shared" si="2"/>
        <v>2.7E-2</v>
      </c>
      <c r="J15" s="16">
        <f>ROUND(G15/60870-1,2)</f>
        <v>0.31</v>
      </c>
    </row>
    <row r="16" spans="1:10" x14ac:dyDescent="0.25">
      <c r="A16" s="1" t="s">
        <v>16</v>
      </c>
      <c r="B16" s="1" t="s">
        <v>24</v>
      </c>
      <c r="C16" s="11">
        <v>314260</v>
      </c>
      <c r="D16" s="11"/>
      <c r="E16" s="11">
        <v>48660</v>
      </c>
      <c r="F16" s="11"/>
      <c r="G16" s="11">
        <f t="shared" si="0"/>
        <v>362920</v>
      </c>
      <c r="H16" s="17">
        <f t="shared" si="1"/>
        <v>60.56</v>
      </c>
      <c r="I16" s="16">
        <f t="shared" si="2"/>
        <v>0.122</v>
      </c>
      <c r="J16" s="16">
        <f>ROUND(G16/390610-1,2)</f>
        <v>-7.0000000000000007E-2</v>
      </c>
    </row>
    <row r="17" spans="1:10" x14ac:dyDescent="0.25">
      <c r="A17" s="1" t="s">
        <v>16</v>
      </c>
      <c r="B17" s="1" t="s">
        <v>25</v>
      </c>
      <c r="C17" s="11"/>
      <c r="D17" s="11"/>
      <c r="E17" s="11">
        <v>12135</v>
      </c>
      <c r="F17" s="11"/>
      <c r="G17" s="11">
        <f t="shared" si="0"/>
        <v>12135</v>
      </c>
      <c r="H17" s="17">
        <f t="shared" si="1"/>
        <v>2.02</v>
      </c>
      <c r="I17" s="16">
        <f t="shared" si="2"/>
        <v>4.0000000000000001E-3</v>
      </c>
      <c r="J17" s="16">
        <f>ROUND(G17/10505-1,2)</f>
        <v>0.16</v>
      </c>
    </row>
    <row r="18" spans="1:10" x14ac:dyDescent="0.25">
      <c r="A18" s="1" t="s">
        <v>16</v>
      </c>
      <c r="B18" s="1" t="s">
        <v>26</v>
      </c>
      <c r="C18" s="11">
        <v>398830</v>
      </c>
      <c r="D18" s="11"/>
      <c r="E18" s="11"/>
      <c r="F18" s="11">
        <v>740</v>
      </c>
      <c r="G18" s="11">
        <f t="shared" si="0"/>
        <v>399570</v>
      </c>
      <c r="H18" s="17">
        <f t="shared" si="1"/>
        <v>66.67</v>
      </c>
      <c r="I18" s="16">
        <f t="shared" si="2"/>
        <v>0.13400000000000001</v>
      </c>
      <c r="J18" s="16">
        <f>ROUND(G18/418680-1,2)</f>
        <v>-0.05</v>
      </c>
    </row>
    <row r="19" spans="1:10" x14ac:dyDescent="0.25">
      <c r="A19" s="1" t="s">
        <v>16</v>
      </c>
      <c r="B19" s="1" t="s">
        <v>27</v>
      </c>
      <c r="C19" s="11"/>
      <c r="D19" s="11"/>
      <c r="E19" s="11">
        <v>2271</v>
      </c>
      <c r="F19" s="11"/>
      <c r="G19" s="11">
        <f t="shared" si="0"/>
        <v>2271</v>
      </c>
      <c r="H19" s="17">
        <f t="shared" si="1"/>
        <v>0.38</v>
      </c>
      <c r="I19" s="16">
        <f t="shared" si="2"/>
        <v>1E-3</v>
      </c>
      <c r="J19" s="16">
        <f>ROUND(G19/1469-1,2)</f>
        <v>0.55000000000000004</v>
      </c>
    </row>
    <row r="20" spans="1:10" x14ac:dyDescent="0.25">
      <c r="A20" s="1" t="s">
        <v>16</v>
      </c>
      <c r="B20" s="1" t="s">
        <v>28</v>
      </c>
      <c r="C20" s="11"/>
      <c r="D20" s="11"/>
      <c r="E20" s="11">
        <v>991</v>
      </c>
      <c r="F20" s="11"/>
      <c r="G20" s="11">
        <f t="shared" si="0"/>
        <v>991</v>
      </c>
      <c r="H20" s="17">
        <f t="shared" si="1"/>
        <v>0.17</v>
      </c>
      <c r="I20" s="16">
        <f t="shared" si="2"/>
        <v>0</v>
      </c>
      <c r="J20" s="16">
        <f>ROUND(G20/849-1,2)</f>
        <v>0.17</v>
      </c>
    </row>
    <row r="21" spans="1:10" x14ac:dyDescent="0.25">
      <c r="A21" s="1" t="s">
        <v>16</v>
      </c>
      <c r="B21" s="1" t="s">
        <v>29</v>
      </c>
      <c r="C21" s="11"/>
      <c r="D21" s="11"/>
      <c r="E21" s="11">
        <v>108</v>
      </c>
      <c r="F21" s="11"/>
      <c r="G21" s="11">
        <f t="shared" si="0"/>
        <v>108</v>
      </c>
      <c r="H21" s="17">
        <f t="shared" si="1"/>
        <v>0.02</v>
      </c>
      <c r="I21" s="16">
        <f t="shared" si="2"/>
        <v>0</v>
      </c>
      <c r="J21" s="16">
        <f>ROUND(G21/271-1,2)</f>
        <v>-0.6</v>
      </c>
    </row>
    <row r="22" spans="1:10" x14ac:dyDescent="0.25">
      <c r="A22" s="1" t="s">
        <v>16</v>
      </c>
      <c r="B22" s="1" t="s">
        <v>30</v>
      </c>
      <c r="C22" s="11"/>
      <c r="D22" s="11"/>
      <c r="E22" s="11">
        <v>8636</v>
      </c>
      <c r="F22" s="11"/>
      <c r="G22" s="11">
        <f t="shared" si="0"/>
        <v>8636</v>
      </c>
      <c r="H22" s="17">
        <f t="shared" si="1"/>
        <v>1.44</v>
      </c>
      <c r="I22" s="16">
        <f t="shared" si="2"/>
        <v>3.0000000000000001E-3</v>
      </c>
      <c r="J22" s="16">
        <f>ROUND(G22/7880-1,2)</f>
        <v>0.1</v>
      </c>
    </row>
    <row r="23" spans="1:10" x14ac:dyDescent="0.25">
      <c r="A23" s="1" t="s">
        <v>16</v>
      </c>
      <c r="B23" s="1" t="s">
        <v>31</v>
      </c>
      <c r="C23" s="11"/>
      <c r="D23" s="11"/>
      <c r="E23" s="11">
        <v>2710</v>
      </c>
      <c r="F23" s="11"/>
      <c r="G23" s="11">
        <f t="shared" si="0"/>
        <v>2710</v>
      </c>
      <c r="H23" s="17">
        <f t="shared" si="1"/>
        <v>0.45</v>
      </c>
      <c r="I23" s="16">
        <f t="shared" si="2"/>
        <v>1E-3</v>
      </c>
      <c r="J23" s="16">
        <f>ROUND(G23/2650-1,2)</f>
        <v>0.02</v>
      </c>
    </row>
    <row r="24" spans="1:10" x14ac:dyDescent="0.25">
      <c r="A24" s="1" t="s">
        <v>16</v>
      </c>
      <c r="B24" s="1" t="s">
        <v>32</v>
      </c>
      <c r="C24" s="11"/>
      <c r="D24" s="11"/>
      <c r="E24" s="11">
        <v>1150</v>
      </c>
      <c r="F24" s="11"/>
      <c r="G24" s="11">
        <f t="shared" si="0"/>
        <v>1150</v>
      </c>
      <c r="H24" s="17">
        <f t="shared" si="1"/>
        <v>0.19</v>
      </c>
      <c r="I24" s="16">
        <f t="shared" si="2"/>
        <v>0</v>
      </c>
      <c r="J24" s="16">
        <f>ROUND(G24/1230-1,2)</f>
        <v>-7.0000000000000007E-2</v>
      </c>
    </row>
    <row r="25" spans="1:10" x14ac:dyDescent="0.25">
      <c r="A25" s="1" t="s">
        <v>16</v>
      </c>
      <c r="B25" s="1" t="s">
        <v>33</v>
      </c>
      <c r="C25" s="11"/>
      <c r="D25" s="11"/>
      <c r="E25" s="11">
        <v>6812</v>
      </c>
      <c r="F25" s="11"/>
      <c r="G25" s="11">
        <f t="shared" si="0"/>
        <v>6812</v>
      </c>
      <c r="H25" s="17">
        <f t="shared" si="1"/>
        <v>1.1399999999999999</v>
      </c>
      <c r="I25" s="16">
        <f t="shared" si="2"/>
        <v>2E-3</v>
      </c>
      <c r="J25" s="16">
        <f>ROUND(G25/4505-1,2)</f>
        <v>0.51</v>
      </c>
    </row>
    <row r="26" spans="1:10" x14ac:dyDescent="0.25">
      <c r="A26" s="1" t="s">
        <v>16</v>
      </c>
      <c r="B26" s="1" t="s">
        <v>34</v>
      </c>
      <c r="C26" s="11"/>
      <c r="D26" s="11">
        <v>199</v>
      </c>
      <c r="E26" s="11">
        <v>429</v>
      </c>
      <c r="F26" s="11"/>
      <c r="G26" s="11">
        <f t="shared" si="0"/>
        <v>628</v>
      </c>
      <c r="H26" s="17">
        <f t="shared" si="1"/>
        <v>0.1</v>
      </c>
      <c r="I26" s="16">
        <f t="shared" si="2"/>
        <v>0</v>
      </c>
      <c r="J26" s="16">
        <f>ROUND(G26/643-1,2)</f>
        <v>-0.02</v>
      </c>
    </row>
    <row r="27" spans="1:10" x14ac:dyDescent="0.25">
      <c r="A27" s="1" t="s">
        <v>16</v>
      </c>
      <c r="B27" s="1" t="s">
        <v>36</v>
      </c>
      <c r="C27" s="11"/>
      <c r="D27" s="11"/>
      <c r="E27" s="11">
        <v>691</v>
      </c>
      <c r="F27" s="11"/>
      <c r="G27" s="11">
        <f t="shared" si="0"/>
        <v>691</v>
      </c>
      <c r="H27" s="17">
        <f t="shared" si="1"/>
        <v>0.12</v>
      </c>
      <c r="I27" s="16">
        <f t="shared" si="2"/>
        <v>0</v>
      </c>
      <c r="J27" s="16">
        <f>ROUND(G27/625-1,2)</f>
        <v>0.11</v>
      </c>
    </row>
    <row r="28" spans="1:10" x14ac:dyDescent="0.25">
      <c r="A28" s="1" t="s">
        <v>16</v>
      </c>
      <c r="B28" s="1" t="s">
        <v>35</v>
      </c>
      <c r="C28" s="11"/>
      <c r="D28" s="11"/>
      <c r="E28" s="11">
        <v>616</v>
      </c>
      <c r="F28" s="11"/>
      <c r="G28" s="11">
        <f t="shared" si="0"/>
        <v>616</v>
      </c>
      <c r="H28" s="17">
        <f t="shared" si="1"/>
        <v>0.1</v>
      </c>
      <c r="I28" s="16">
        <f t="shared" si="2"/>
        <v>0</v>
      </c>
      <c r="J28" s="16">
        <f>ROUND(G28/780-1,2)</f>
        <v>-0.21</v>
      </c>
    </row>
    <row r="29" spans="1:10" x14ac:dyDescent="0.25">
      <c r="A29" s="1" t="s">
        <v>16</v>
      </c>
      <c r="B29" s="1" t="s">
        <v>37</v>
      </c>
      <c r="C29" s="11"/>
      <c r="D29" s="11"/>
      <c r="E29" s="11">
        <v>3290</v>
      </c>
      <c r="F29" s="11"/>
      <c r="G29" s="11">
        <f t="shared" si="0"/>
        <v>3290</v>
      </c>
      <c r="H29" s="17">
        <f t="shared" si="1"/>
        <v>0.55000000000000004</v>
      </c>
      <c r="I29" s="16">
        <f t="shared" si="2"/>
        <v>1E-3</v>
      </c>
      <c r="J29" s="16">
        <f>ROUND(G29/4550-1,2)</f>
        <v>-0.28000000000000003</v>
      </c>
    </row>
    <row r="30" spans="1:10" x14ac:dyDescent="0.25">
      <c r="A30" s="1" t="s">
        <v>16</v>
      </c>
      <c r="B30" s="1" t="s">
        <v>39</v>
      </c>
      <c r="C30" s="11"/>
      <c r="D30" s="11"/>
      <c r="E30" s="11">
        <v>17945</v>
      </c>
      <c r="F30" s="11"/>
      <c r="G30" s="11">
        <f t="shared" si="0"/>
        <v>17945</v>
      </c>
      <c r="H30" s="17">
        <f t="shared" si="1"/>
        <v>2.99</v>
      </c>
      <c r="I30" s="16">
        <f t="shared" si="2"/>
        <v>6.0000000000000001E-3</v>
      </c>
      <c r="J30" s="16">
        <f>ROUND(G30/14695-1,2)</f>
        <v>0.22</v>
      </c>
    </row>
    <row r="31" spans="1:10" x14ac:dyDescent="0.25">
      <c r="A31" s="1" t="s">
        <v>16</v>
      </c>
      <c r="B31" s="1" t="s">
        <v>38</v>
      </c>
      <c r="C31" s="11"/>
      <c r="D31" s="11"/>
      <c r="E31" s="11">
        <v>4730</v>
      </c>
      <c r="F31" s="11"/>
      <c r="G31" s="11">
        <f t="shared" si="0"/>
        <v>4730</v>
      </c>
      <c r="H31" s="17">
        <f t="shared" si="1"/>
        <v>0.79</v>
      </c>
      <c r="I31" s="16">
        <f t="shared" si="2"/>
        <v>2E-3</v>
      </c>
      <c r="J31" s="16">
        <f>ROUND(G31/10460-1,2)</f>
        <v>-0.55000000000000004</v>
      </c>
    </row>
    <row r="32" spans="1:10" x14ac:dyDescent="0.25">
      <c r="A32" s="1" t="s">
        <v>16</v>
      </c>
      <c r="B32" s="1" t="s">
        <v>40</v>
      </c>
      <c r="C32" s="11"/>
      <c r="D32" s="11"/>
      <c r="E32" s="11">
        <v>247885</v>
      </c>
      <c r="F32" s="11"/>
      <c r="G32" s="11">
        <f t="shared" si="0"/>
        <v>247885</v>
      </c>
      <c r="H32" s="17">
        <f t="shared" si="1"/>
        <v>41.36</v>
      </c>
      <c r="I32" s="16">
        <f t="shared" si="2"/>
        <v>8.3000000000000004E-2</v>
      </c>
      <c r="J32" s="16">
        <f>ROUND(G32/215730-1,2)</f>
        <v>0.15</v>
      </c>
    </row>
    <row r="33" spans="1:10" x14ac:dyDescent="0.25">
      <c r="A33" s="1" t="s">
        <v>16</v>
      </c>
      <c r="B33" s="1" t="s">
        <v>41</v>
      </c>
      <c r="C33" s="11"/>
      <c r="D33" s="11"/>
      <c r="E33" s="11">
        <v>2510</v>
      </c>
      <c r="F33" s="11"/>
      <c r="G33" s="11">
        <f t="shared" si="0"/>
        <v>2510</v>
      </c>
      <c r="H33" s="17">
        <f t="shared" si="1"/>
        <v>0.42</v>
      </c>
      <c r="I33" s="16">
        <f t="shared" si="2"/>
        <v>1E-3</v>
      </c>
      <c r="J33" s="16">
        <f>ROUND(G33/3320-1,2)</f>
        <v>-0.24</v>
      </c>
    </row>
    <row r="34" spans="1:10" x14ac:dyDescent="0.25">
      <c r="A34" s="1" t="s">
        <v>16</v>
      </c>
      <c r="B34" s="1" t="s">
        <v>42</v>
      </c>
      <c r="C34" s="11"/>
      <c r="D34" s="11"/>
      <c r="E34" s="11">
        <v>34540</v>
      </c>
      <c r="F34" s="11"/>
      <c r="G34" s="11">
        <f t="shared" si="0"/>
        <v>34540</v>
      </c>
      <c r="H34" s="17">
        <f t="shared" si="1"/>
        <v>5.76</v>
      </c>
      <c r="I34" s="16">
        <f t="shared" si="2"/>
        <v>1.2E-2</v>
      </c>
      <c r="J34" s="16">
        <f>ROUND(G34/36140-1,2)</f>
        <v>-0.04</v>
      </c>
    </row>
    <row r="35" spans="1:10" x14ac:dyDescent="0.25">
      <c r="A35" s="1" t="s">
        <v>16</v>
      </c>
      <c r="B35" s="1" t="s">
        <v>44</v>
      </c>
      <c r="C35" s="11"/>
      <c r="D35" s="11"/>
      <c r="E35" s="11">
        <v>355480</v>
      </c>
      <c r="F35" s="11">
        <v>29440</v>
      </c>
      <c r="G35" s="11">
        <f t="shared" si="0"/>
        <v>384920</v>
      </c>
      <c r="H35" s="17">
        <f t="shared" si="1"/>
        <v>64.23</v>
      </c>
      <c r="I35" s="16">
        <f t="shared" si="2"/>
        <v>0.129</v>
      </c>
      <c r="J35" s="16">
        <f>ROUND(G35/377440-1,2)</f>
        <v>0.02</v>
      </c>
    </row>
    <row r="36" spans="1:10" x14ac:dyDescent="0.25">
      <c r="A36" s="1" t="s">
        <v>16</v>
      </c>
      <c r="B36" s="1" t="s">
        <v>96</v>
      </c>
      <c r="C36" s="11"/>
      <c r="D36" s="11"/>
      <c r="E36" s="11"/>
      <c r="F36" s="11"/>
      <c r="G36" s="11">
        <f t="shared" si="0"/>
        <v>0</v>
      </c>
      <c r="H36" s="17">
        <f t="shared" si="1"/>
        <v>0</v>
      </c>
      <c r="I36" s="16">
        <f t="shared" si="2"/>
        <v>0</v>
      </c>
      <c r="J36" s="16">
        <f>ROUND(G36/117-1,2)</f>
        <v>-1</v>
      </c>
    </row>
    <row r="37" spans="1:10" x14ac:dyDescent="0.25">
      <c r="A37" s="1" t="s">
        <v>16</v>
      </c>
      <c r="B37" s="1" t="s">
        <v>160</v>
      </c>
      <c r="C37" s="11"/>
      <c r="D37" s="11"/>
      <c r="E37" s="11"/>
      <c r="F37" s="11"/>
      <c r="G37" s="11">
        <f t="shared" si="0"/>
        <v>0</v>
      </c>
      <c r="H37" s="17">
        <f t="shared" si="1"/>
        <v>0</v>
      </c>
      <c r="I37" s="16">
        <f t="shared" si="2"/>
        <v>0</v>
      </c>
      <c r="J37" s="16"/>
    </row>
    <row r="38" spans="1:10" x14ac:dyDescent="0.25">
      <c r="A38" s="1" t="s">
        <v>16</v>
      </c>
      <c r="B38" s="1" t="s">
        <v>121</v>
      </c>
      <c r="C38" s="11"/>
      <c r="D38" s="11"/>
      <c r="E38" s="11"/>
      <c r="F38" s="11"/>
      <c r="G38" s="11">
        <f t="shared" si="0"/>
        <v>0</v>
      </c>
      <c r="H38" s="17">
        <f t="shared" si="1"/>
        <v>0</v>
      </c>
      <c r="I38" s="16">
        <f t="shared" si="2"/>
        <v>0</v>
      </c>
      <c r="J38" s="16"/>
    </row>
    <row r="39" spans="1:10" x14ac:dyDescent="0.25">
      <c r="A39" s="1" t="s">
        <v>16</v>
      </c>
      <c r="B39" s="1" t="s">
        <v>161</v>
      </c>
      <c r="C39" s="11"/>
      <c r="D39" s="11"/>
      <c r="E39" s="11"/>
      <c r="F39" s="11"/>
      <c r="G39" s="11">
        <f t="shared" si="0"/>
        <v>0</v>
      </c>
      <c r="H39" s="17">
        <f t="shared" si="1"/>
        <v>0</v>
      </c>
      <c r="I39" s="16">
        <f t="shared" si="2"/>
        <v>0</v>
      </c>
      <c r="J39" s="16"/>
    </row>
    <row r="40" spans="1:10" x14ac:dyDescent="0.25">
      <c r="A40" s="1" t="s">
        <v>45</v>
      </c>
      <c r="B40" s="1" t="s">
        <v>46</v>
      </c>
      <c r="C40" s="11">
        <v>691570</v>
      </c>
      <c r="D40" s="11"/>
      <c r="E40" s="11"/>
      <c r="F40" s="11"/>
      <c r="G40" s="11">
        <f t="shared" si="0"/>
        <v>691570</v>
      </c>
      <c r="H40" s="17">
        <f t="shared" si="1"/>
        <v>115.4</v>
      </c>
      <c r="I40" s="16">
        <f t="shared" si="2"/>
        <v>0.23200000000000001</v>
      </c>
      <c r="J40" s="16">
        <f>ROUND(G40/682820-1,2)</f>
        <v>0.01</v>
      </c>
    </row>
    <row r="41" spans="1:10" x14ac:dyDescent="0.25">
      <c r="A41" s="1" t="s">
        <v>45</v>
      </c>
      <c r="B41" s="1" t="s">
        <v>48</v>
      </c>
      <c r="C41" s="11"/>
      <c r="D41" s="11"/>
      <c r="E41" s="11"/>
      <c r="F41" s="11">
        <v>27100</v>
      </c>
      <c r="G41" s="11">
        <f t="shared" si="0"/>
        <v>27100</v>
      </c>
      <c r="H41" s="17">
        <f t="shared" si="1"/>
        <v>4.5199999999999996</v>
      </c>
      <c r="I41" s="16">
        <f t="shared" si="2"/>
        <v>8.9999999999999993E-3</v>
      </c>
      <c r="J41" s="16">
        <f>ROUND(G41/28020-1,2)</f>
        <v>-0.03</v>
      </c>
    </row>
    <row r="42" spans="1:10" x14ac:dyDescent="0.25">
      <c r="A42" s="1" t="s">
        <v>45</v>
      </c>
      <c r="B42" s="1" t="s">
        <v>47</v>
      </c>
      <c r="C42" s="11"/>
      <c r="D42" s="11"/>
      <c r="E42" s="11">
        <v>177330</v>
      </c>
      <c r="F42" s="11"/>
      <c r="G42" s="11">
        <f t="shared" si="0"/>
        <v>177330</v>
      </c>
      <c r="H42" s="17">
        <f t="shared" si="1"/>
        <v>29.59</v>
      </c>
      <c r="I42" s="16">
        <f t="shared" si="2"/>
        <v>0.06</v>
      </c>
      <c r="J42" s="16">
        <f>ROUND(G42/173180-1,2)</f>
        <v>0.02</v>
      </c>
    </row>
    <row r="43" spans="1:10" x14ac:dyDescent="0.25">
      <c r="A43" s="1" t="s">
        <v>49</v>
      </c>
      <c r="B43" s="1" t="s">
        <v>52</v>
      </c>
      <c r="C43" s="11"/>
      <c r="D43" s="11"/>
      <c r="E43" s="11"/>
      <c r="F43" s="11"/>
      <c r="G43" s="11">
        <f t="shared" si="0"/>
        <v>0</v>
      </c>
      <c r="H43" s="17">
        <f t="shared" si="1"/>
        <v>0</v>
      </c>
      <c r="I43" s="16">
        <f t="shared" si="2"/>
        <v>0</v>
      </c>
      <c r="J43" s="16"/>
    </row>
    <row r="44" spans="1:10" x14ac:dyDescent="0.25">
      <c r="A44" s="1" t="s">
        <v>49</v>
      </c>
      <c r="B44" s="1" t="s">
        <v>51</v>
      </c>
      <c r="C44" s="11"/>
      <c r="D44" s="11"/>
      <c r="E44" s="11"/>
      <c r="F44" s="11"/>
      <c r="G44" s="11">
        <f t="shared" si="0"/>
        <v>0</v>
      </c>
      <c r="H44" s="17">
        <f t="shared" si="1"/>
        <v>0</v>
      </c>
      <c r="I44" s="16">
        <f t="shared" si="2"/>
        <v>0</v>
      </c>
      <c r="J44" s="16">
        <f>ROUND(G44/156-1,2)</f>
        <v>-1</v>
      </c>
    </row>
    <row r="45" spans="1:10" x14ac:dyDescent="0.25">
      <c r="A45" s="1" t="s">
        <v>49</v>
      </c>
      <c r="B45" s="1" t="s">
        <v>162</v>
      </c>
      <c r="C45" s="11"/>
      <c r="D45" s="11"/>
      <c r="E45" s="11"/>
      <c r="F45" s="11"/>
      <c r="G45" s="11">
        <f t="shared" si="0"/>
        <v>0</v>
      </c>
      <c r="H45" s="17">
        <f t="shared" si="1"/>
        <v>0</v>
      </c>
      <c r="I45" s="16">
        <f t="shared" si="2"/>
        <v>0</v>
      </c>
      <c r="J45" s="16"/>
    </row>
    <row r="46" spans="1:10" x14ac:dyDescent="0.25">
      <c r="A46" s="26" t="s">
        <v>12</v>
      </c>
      <c r="B46" s="26"/>
      <c r="C46" s="12">
        <f t="shared" ref="C46:H46" si="3">SUM(C8:C45)</f>
        <v>1906070</v>
      </c>
      <c r="D46" s="12">
        <f t="shared" si="3"/>
        <v>199</v>
      </c>
      <c r="E46" s="12">
        <f t="shared" si="3"/>
        <v>1015842</v>
      </c>
      <c r="F46" s="12">
        <f t="shared" si="3"/>
        <v>57280</v>
      </c>
      <c r="G46" s="12">
        <f t="shared" si="3"/>
        <v>2979391</v>
      </c>
      <c r="H46" s="15">
        <f t="shared" si="3"/>
        <v>497.14999999999992</v>
      </c>
      <c r="I46" s="18"/>
      <c r="J46" s="18"/>
    </row>
    <row r="47" spans="1:10" x14ac:dyDescent="0.25">
      <c r="A47" s="26" t="s">
        <v>14</v>
      </c>
      <c r="B47" s="26"/>
      <c r="C47" s="13">
        <f>ROUND(C46/G46,2)</f>
        <v>0.64</v>
      </c>
      <c r="D47" s="13">
        <f>ROUND(D46/G46,2)</f>
        <v>0</v>
      </c>
      <c r="E47" s="13">
        <f>ROUND(E46/G46,2)</f>
        <v>0.34</v>
      </c>
      <c r="F47" s="13">
        <f>ROUND(F46/G46,2)</f>
        <v>0.02</v>
      </c>
      <c r="G47" s="14"/>
      <c r="H47" s="14"/>
      <c r="I47" s="18"/>
      <c r="J47" s="18"/>
    </row>
    <row r="48" spans="1:10" x14ac:dyDescent="0.25">
      <c r="A48" s="2" t="s">
        <v>53</v>
      </c>
      <c r="B48" s="2"/>
      <c r="C48" s="14"/>
      <c r="D48" s="14"/>
      <c r="E48" s="14"/>
      <c r="F48" s="14"/>
      <c r="G48" s="14"/>
      <c r="H48" s="14"/>
      <c r="I48" s="18"/>
      <c r="J48" s="18"/>
    </row>
    <row r="49" spans="1:10" x14ac:dyDescent="0.25">
      <c r="C49" s="9"/>
      <c r="D49" s="9"/>
      <c r="E49" s="9"/>
      <c r="F49" s="9"/>
      <c r="G49" s="9"/>
      <c r="H49" s="9"/>
      <c r="I49" s="10"/>
      <c r="J49" s="10"/>
    </row>
    <row r="50" spans="1:10" x14ac:dyDescent="0.25">
      <c r="C50" s="9"/>
      <c r="D50" s="9"/>
      <c r="E50" s="9"/>
      <c r="F50" s="9"/>
      <c r="G50" s="9"/>
      <c r="H50" s="9"/>
      <c r="I50" s="10"/>
      <c r="J50" s="10"/>
    </row>
    <row r="51" spans="1:10" x14ac:dyDescent="0.25">
      <c r="C51" s="9"/>
      <c r="D51" s="9"/>
      <c r="E51" s="9"/>
      <c r="F51" s="9"/>
      <c r="G51" s="9"/>
      <c r="H51" s="9"/>
      <c r="I51" s="10"/>
      <c r="J51" s="10"/>
    </row>
    <row r="52" spans="1:10" x14ac:dyDescent="0.25">
      <c r="A52" s="26" t="s">
        <v>54</v>
      </c>
      <c r="B52" s="26"/>
      <c r="C52" s="12" t="s">
        <v>8</v>
      </c>
      <c r="D52" s="12" t="s">
        <v>9</v>
      </c>
      <c r="E52" s="12" t="s">
        <v>10</v>
      </c>
      <c r="F52" s="12" t="s">
        <v>11</v>
      </c>
      <c r="G52" s="12" t="s">
        <v>12</v>
      </c>
      <c r="H52" s="15" t="s">
        <v>13</v>
      </c>
      <c r="I52" s="18"/>
      <c r="J52" s="18"/>
    </row>
    <row r="53" spans="1:10" x14ac:dyDescent="0.25">
      <c r="A53" s="21" t="s">
        <v>55</v>
      </c>
      <c r="B53" s="21"/>
      <c r="C53" s="11">
        <v>1214500</v>
      </c>
      <c r="D53" s="11">
        <v>199</v>
      </c>
      <c r="E53" s="11">
        <v>838512</v>
      </c>
      <c r="F53" s="11">
        <v>30180</v>
      </c>
      <c r="G53" s="11">
        <f>SUM(C53:F53)</f>
        <v>2083391</v>
      </c>
      <c r="H53" s="17">
        <f>ROUND(G53/5993,2)</f>
        <v>347.64</v>
      </c>
      <c r="I53" s="10"/>
      <c r="J53" s="10"/>
    </row>
    <row r="54" spans="1:10" x14ac:dyDescent="0.25">
      <c r="A54" s="21" t="s">
        <v>56</v>
      </c>
      <c r="B54" s="21"/>
      <c r="C54" s="11">
        <v>691570</v>
      </c>
      <c r="D54" s="11">
        <v>0</v>
      </c>
      <c r="E54" s="11">
        <v>177330</v>
      </c>
      <c r="F54" s="11">
        <v>27100</v>
      </c>
      <c r="G54" s="11">
        <f>SUM(C54:F54)</f>
        <v>896000</v>
      </c>
      <c r="H54" s="17">
        <f>ROUND(G54/5993,2)</f>
        <v>149.51</v>
      </c>
      <c r="I54" s="10"/>
      <c r="J54" s="10"/>
    </row>
    <row r="55" spans="1:10" x14ac:dyDescent="0.25">
      <c r="A55" s="21" t="s">
        <v>57</v>
      </c>
      <c r="B55" s="21"/>
      <c r="C55" s="11">
        <v>0</v>
      </c>
      <c r="D55" s="11">
        <v>0</v>
      </c>
      <c r="E55" s="11">
        <v>0</v>
      </c>
      <c r="F55" s="11">
        <v>0</v>
      </c>
      <c r="G55" s="11">
        <f>SUM(C55:F55)</f>
        <v>0</v>
      </c>
      <c r="H55" s="17">
        <f>ROUND(G55/5993,2)</f>
        <v>0</v>
      </c>
      <c r="I55" s="10"/>
      <c r="J55" s="10"/>
    </row>
    <row r="56" spans="1:10" x14ac:dyDescent="0.25">
      <c r="C56" s="9"/>
      <c r="D56" s="9"/>
      <c r="E56" s="9"/>
      <c r="F56" s="9"/>
      <c r="G56" s="9"/>
      <c r="H56" s="9"/>
      <c r="I56" s="10"/>
      <c r="J56" s="10"/>
    </row>
    <row r="57" spans="1:10" x14ac:dyDescent="0.25">
      <c r="C57" s="9"/>
      <c r="D57" s="9"/>
      <c r="E57" s="9"/>
      <c r="F57" s="9"/>
      <c r="G57" s="9"/>
      <c r="H57" s="9"/>
      <c r="I57" s="10"/>
      <c r="J57" s="10"/>
    </row>
    <row r="58" spans="1:10" x14ac:dyDescent="0.25">
      <c r="C58" s="9"/>
      <c r="D58" s="9"/>
      <c r="E58" s="9"/>
      <c r="F58" s="9"/>
      <c r="G58" s="9"/>
      <c r="H58" s="9"/>
      <c r="I58" s="10"/>
      <c r="J58" s="10"/>
    </row>
    <row r="59" spans="1:10" x14ac:dyDescent="0.25">
      <c r="C59" s="9"/>
      <c r="D59" s="9"/>
      <c r="E59" s="9"/>
      <c r="F59" s="9"/>
      <c r="G59" s="9"/>
      <c r="H59" s="9"/>
      <c r="I59" s="10"/>
      <c r="J59" s="10"/>
    </row>
    <row r="60" spans="1:10" x14ac:dyDescent="0.25">
      <c r="A60" s="26" t="s">
        <v>58</v>
      </c>
      <c r="B60" s="26"/>
      <c r="C60" s="15" t="s">
        <v>2</v>
      </c>
      <c r="D60" s="15">
        <v>2024</v>
      </c>
      <c r="E60" s="15" t="s">
        <v>60</v>
      </c>
      <c r="F60" s="14"/>
      <c r="G60" s="15" t="s">
        <v>61</v>
      </c>
      <c r="H60" s="15" t="s">
        <v>2</v>
      </c>
      <c r="I60" s="13" t="s">
        <v>62</v>
      </c>
      <c r="J60" s="13" t="s">
        <v>60</v>
      </c>
    </row>
    <row r="61" spans="1:10" x14ac:dyDescent="0.25">
      <c r="A61" s="21" t="s">
        <v>59</v>
      </c>
      <c r="B61" s="21"/>
      <c r="C61" s="8">
        <f>ROUND(0.7613, 4)</f>
        <v>0.76129999999999998</v>
      </c>
      <c r="D61" s="8">
        <f>ROUND(0.7625, 4)</f>
        <v>0.76249999999999996</v>
      </c>
      <c r="E61" s="8">
        <f>ROUND(0.7856, 4)</f>
        <v>0.78559999999999997</v>
      </c>
      <c r="G61" s="3" t="s">
        <v>63</v>
      </c>
      <c r="H61" s="29" t="s">
        <v>64</v>
      </c>
      <c r="I61" s="29" t="s">
        <v>65</v>
      </c>
      <c r="J61" s="29" t="s">
        <v>66</v>
      </c>
    </row>
    <row r="62" spans="1:10" x14ac:dyDescent="0.25">
      <c r="A62" s="21" t="s">
        <v>67</v>
      </c>
      <c r="B62" s="21"/>
      <c r="C62" s="8">
        <f>ROUND(0.7613, 4)</f>
        <v>0.76129999999999998</v>
      </c>
      <c r="D62" s="8">
        <f>ROUND(0.7527, 4)</f>
        <v>0.75270000000000004</v>
      </c>
      <c r="E62" s="8">
        <f>ROUND(0.7702, 4)</f>
        <v>0.7702</v>
      </c>
      <c r="G62" s="3" t="s">
        <v>68</v>
      </c>
      <c r="H62" s="21"/>
      <c r="I62" s="21"/>
      <c r="J62" s="21"/>
    </row>
    <row r="66" spans="1:10" x14ac:dyDescent="0.25">
      <c r="A66" s="26" t="s">
        <v>69</v>
      </c>
      <c r="B66" s="26"/>
      <c r="C66" s="3" t="s">
        <v>2</v>
      </c>
      <c r="D66" s="3" t="s">
        <v>163</v>
      </c>
      <c r="E66" s="3" t="s">
        <v>71</v>
      </c>
      <c r="F66" s="3" t="s">
        <v>72</v>
      </c>
      <c r="G66" s="3" t="s">
        <v>73</v>
      </c>
      <c r="H66" s="2"/>
      <c r="I66" s="2"/>
      <c r="J66" s="2"/>
    </row>
    <row r="67" spans="1:10" x14ac:dyDescent="0.25">
      <c r="A67" s="21" t="s">
        <v>74</v>
      </c>
      <c r="B67" s="21"/>
      <c r="C67" s="1">
        <v>115.4</v>
      </c>
      <c r="D67" s="1">
        <v>108.12</v>
      </c>
      <c r="E67" s="1">
        <v>96.15</v>
      </c>
      <c r="F67" s="1">
        <v>57.94</v>
      </c>
      <c r="G67" s="1">
        <f>12/12*C67</f>
        <v>115.4</v>
      </c>
    </row>
    <row r="68" spans="1:10" x14ac:dyDescent="0.25">
      <c r="A68" s="21" t="s">
        <v>75</v>
      </c>
      <c r="B68" s="21"/>
      <c r="C68" s="1">
        <v>66.67</v>
      </c>
      <c r="D68" s="1">
        <v>69.819999999999993</v>
      </c>
      <c r="E68" s="1">
        <v>62.28</v>
      </c>
      <c r="F68" s="1">
        <v>66.599999999999994</v>
      </c>
      <c r="G68" s="1">
        <f>12/12*C68</f>
        <v>66.67</v>
      </c>
    </row>
    <row r="69" spans="1:10" x14ac:dyDescent="0.25">
      <c r="A69" s="21" t="s">
        <v>76</v>
      </c>
      <c r="B69" s="21"/>
      <c r="C69" s="1">
        <v>347.64</v>
      </c>
      <c r="D69" s="1">
        <v>333.33</v>
      </c>
      <c r="E69" s="1">
        <v>300.02</v>
      </c>
      <c r="F69" s="1">
        <v>295.08</v>
      </c>
      <c r="G69" s="1">
        <f>12/12*C69</f>
        <v>347.64</v>
      </c>
    </row>
    <row r="70" spans="1:10" x14ac:dyDescent="0.25">
      <c r="A70" s="21" t="s">
        <v>77</v>
      </c>
      <c r="B70" s="21"/>
      <c r="C70" s="1">
        <v>149.51</v>
      </c>
      <c r="D70" s="1">
        <v>138.18</v>
      </c>
      <c r="E70" s="1">
        <v>120.96</v>
      </c>
      <c r="F70" s="1">
        <v>83.12</v>
      </c>
      <c r="G70" s="1">
        <f>12/12*C70</f>
        <v>149.51</v>
      </c>
    </row>
    <row r="73" spans="1:10" x14ac:dyDescent="0.25">
      <c r="A73" s="22" t="s">
        <v>61</v>
      </c>
      <c r="B73" s="23"/>
    </row>
    <row r="74" spans="1:10" x14ac:dyDescent="0.25">
      <c r="A74" s="3" t="s">
        <v>78</v>
      </c>
      <c r="B74" s="1" t="s">
        <v>164</v>
      </c>
    </row>
    <row r="75" spans="1:10" x14ac:dyDescent="0.25">
      <c r="A75" s="3" t="s">
        <v>71</v>
      </c>
      <c r="B75" s="1" t="s">
        <v>80</v>
      </c>
    </row>
    <row r="76" spans="1:10" x14ac:dyDescent="0.25">
      <c r="A76" s="3" t="s">
        <v>72</v>
      </c>
      <c r="B76" s="1" t="s">
        <v>81</v>
      </c>
    </row>
    <row r="77" spans="1:10" x14ac:dyDescent="0.25">
      <c r="A77" s="3" t="s">
        <v>73</v>
      </c>
      <c r="B77" s="1" t="s">
        <v>82</v>
      </c>
    </row>
  </sheetData>
  <mergeCells count="19">
    <mergeCell ref="C7:G7"/>
    <mergeCell ref="A46:B46"/>
    <mergeCell ref="A47:B47"/>
    <mergeCell ref="A52:B52"/>
    <mergeCell ref="A53:B53"/>
    <mergeCell ref="J61:J62"/>
    <mergeCell ref="A62:B62"/>
    <mergeCell ref="A66:B66"/>
    <mergeCell ref="A67:B67"/>
    <mergeCell ref="A54:B54"/>
    <mergeCell ref="A55:B55"/>
    <mergeCell ref="A60:B60"/>
    <mergeCell ref="A61:B61"/>
    <mergeCell ref="H61:H62"/>
    <mergeCell ref="A68:B68"/>
    <mergeCell ref="A69:B69"/>
    <mergeCell ref="A70:B70"/>
    <mergeCell ref="A73:B73"/>
    <mergeCell ref="I61:I6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J72"/>
  <sheetViews>
    <sheetView workbookViewId="0">
      <selection activeCell="H5" sqref="H5"/>
    </sheetView>
  </sheetViews>
  <sheetFormatPr defaultRowHeight="15" x14ac:dyDescent="0.25"/>
  <cols>
    <col min="1" max="1" width="28.42578125" bestFit="1" customWidth="1"/>
    <col min="2" max="2" width="59.5703125" bestFit="1" customWidth="1"/>
    <col min="3" max="3" width="12.7109375" bestFit="1" customWidth="1"/>
    <col min="4" max="4" width="23.42578125" bestFit="1" customWidth="1"/>
    <col min="5" max="5" width="13.85546875" bestFit="1" customWidth="1"/>
    <col min="6" max="6" width="8.5703125" bestFit="1" customWidth="1"/>
    <col min="7" max="7" width="47.7109375" bestFit="1" customWidth="1"/>
    <col min="8" max="9" width="16.7109375" bestFit="1" customWidth="1"/>
    <col min="10" max="10" width="24.42578125" bestFit="1" customWidth="1"/>
  </cols>
  <sheetData>
    <row r="2" spans="1:10" ht="18.75" x14ac:dyDescent="0.3">
      <c r="A2" s="3" t="s">
        <v>0</v>
      </c>
      <c r="B2" s="4" t="s">
        <v>165</v>
      </c>
    </row>
    <row r="3" spans="1:10" x14ac:dyDescent="0.25">
      <c r="A3" s="3" t="s">
        <v>2</v>
      </c>
      <c r="B3" s="1" t="s">
        <v>3</v>
      </c>
    </row>
    <row r="4" spans="1:10" x14ac:dyDescent="0.25">
      <c r="A4" s="3" t="s">
        <v>4</v>
      </c>
      <c r="B4" s="20">
        <v>1086</v>
      </c>
    </row>
    <row r="7" spans="1:10" x14ac:dyDescent="0.25">
      <c r="C7" s="22" t="s">
        <v>5</v>
      </c>
      <c r="D7" s="21"/>
      <c r="E7" s="21"/>
      <c r="F7" s="21"/>
      <c r="G7" s="21"/>
    </row>
    <row r="8" spans="1:10" x14ac:dyDescent="0.25">
      <c r="A8" s="3" t="s">
        <v>6</v>
      </c>
      <c r="B8" s="3" t="s">
        <v>7</v>
      </c>
      <c r="C8" s="15" t="s">
        <v>8</v>
      </c>
      <c r="D8" s="15" t="s">
        <v>9</v>
      </c>
      <c r="E8" s="15" t="s">
        <v>10</v>
      </c>
      <c r="F8" s="15" t="s">
        <v>11</v>
      </c>
      <c r="G8" s="15" t="s">
        <v>12</v>
      </c>
      <c r="H8" s="15" t="s">
        <v>13</v>
      </c>
      <c r="I8" s="15" t="s">
        <v>14</v>
      </c>
      <c r="J8" s="15" t="s">
        <v>15</v>
      </c>
    </row>
    <row r="9" spans="1:10" x14ac:dyDescent="0.25">
      <c r="A9" s="1" t="s">
        <v>16</v>
      </c>
      <c r="B9" s="1" t="s">
        <v>19</v>
      </c>
      <c r="C9" s="11">
        <v>42340</v>
      </c>
      <c r="D9" s="11"/>
      <c r="E9" s="11"/>
      <c r="F9" s="11">
        <v>210</v>
      </c>
      <c r="G9" s="11">
        <f t="shared" ref="G9:G28" si="0">SUM(C9:F9)</f>
        <v>42550</v>
      </c>
      <c r="H9" s="17">
        <f t="shared" ref="H9:H28" si="1">ROUND(G9/1086,2)</f>
        <v>39.18</v>
      </c>
      <c r="I9" s="16">
        <f t="shared" ref="I9:I28" si="2">ROUND(G9/$G$29,3)</f>
        <v>0.104</v>
      </c>
      <c r="J9" s="16">
        <f>ROUND(G9/36730-1,2)</f>
        <v>0.16</v>
      </c>
    </row>
    <row r="10" spans="1:10" x14ac:dyDescent="0.25">
      <c r="A10" s="1" t="s">
        <v>16</v>
      </c>
      <c r="B10" s="1" t="s">
        <v>20</v>
      </c>
      <c r="C10" s="11">
        <v>55350</v>
      </c>
      <c r="D10" s="11"/>
      <c r="E10" s="11"/>
      <c r="F10" s="11">
        <v>250</v>
      </c>
      <c r="G10" s="11">
        <f t="shared" si="0"/>
        <v>55600</v>
      </c>
      <c r="H10" s="17">
        <f t="shared" si="1"/>
        <v>51.2</v>
      </c>
      <c r="I10" s="16">
        <f t="shared" si="2"/>
        <v>0.13600000000000001</v>
      </c>
      <c r="J10" s="16">
        <f>ROUND(G10/62290-1,2)</f>
        <v>-0.11</v>
      </c>
    </row>
    <row r="11" spans="1:10" x14ac:dyDescent="0.25">
      <c r="A11" s="1" t="s">
        <v>16</v>
      </c>
      <c r="B11" s="1" t="s">
        <v>87</v>
      </c>
      <c r="C11" s="11"/>
      <c r="D11" s="11"/>
      <c r="E11" s="11"/>
      <c r="F11" s="11">
        <v>13</v>
      </c>
      <c r="G11" s="11">
        <f t="shared" si="0"/>
        <v>13</v>
      </c>
      <c r="H11" s="17">
        <f t="shared" si="1"/>
        <v>0.01</v>
      </c>
      <c r="I11" s="16">
        <f t="shared" si="2"/>
        <v>0</v>
      </c>
      <c r="J11" s="16"/>
    </row>
    <row r="12" spans="1:10" x14ac:dyDescent="0.25">
      <c r="A12" s="1" t="s">
        <v>16</v>
      </c>
      <c r="B12" s="1" t="s">
        <v>24</v>
      </c>
      <c r="C12" s="11">
        <v>38790</v>
      </c>
      <c r="D12" s="11"/>
      <c r="E12" s="11"/>
      <c r="F12" s="11">
        <v>230</v>
      </c>
      <c r="G12" s="11">
        <f t="shared" si="0"/>
        <v>39020</v>
      </c>
      <c r="H12" s="17">
        <f t="shared" si="1"/>
        <v>35.93</v>
      </c>
      <c r="I12" s="16">
        <f t="shared" si="2"/>
        <v>9.6000000000000002E-2</v>
      </c>
      <c r="J12" s="16">
        <f>ROUND(G12/35720-1,2)</f>
        <v>0.09</v>
      </c>
    </row>
    <row r="13" spans="1:10" x14ac:dyDescent="0.25">
      <c r="A13" s="1" t="s">
        <v>16</v>
      </c>
      <c r="B13" s="1" t="s">
        <v>26</v>
      </c>
      <c r="C13" s="11">
        <v>92640</v>
      </c>
      <c r="D13" s="11"/>
      <c r="E13" s="11"/>
      <c r="F13" s="11">
        <v>440</v>
      </c>
      <c r="G13" s="11">
        <f t="shared" si="0"/>
        <v>93080</v>
      </c>
      <c r="H13" s="17">
        <f t="shared" si="1"/>
        <v>85.71</v>
      </c>
      <c r="I13" s="16">
        <f t="shared" si="2"/>
        <v>0.22800000000000001</v>
      </c>
      <c r="J13" s="16">
        <f>ROUND(G13/93980-1,2)</f>
        <v>-0.01</v>
      </c>
    </row>
    <row r="14" spans="1:10" x14ac:dyDescent="0.25">
      <c r="A14" s="1" t="s">
        <v>16</v>
      </c>
      <c r="B14" s="1" t="s">
        <v>29</v>
      </c>
      <c r="C14" s="11"/>
      <c r="D14" s="11"/>
      <c r="E14" s="11"/>
      <c r="F14" s="11">
        <v>15</v>
      </c>
      <c r="G14" s="11">
        <f t="shared" si="0"/>
        <v>15</v>
      </c>
      <c r="H14" s="17">
        <f t="shared" si="1"/>
        <v>0.01</v>
      </c>
      <c r="I14" s="16">
        <f t="shared" si="2"/>
        <v>0</v>
      </c>
      <c r="J14" s="16">
        <f>ROUND(G14/10-1,2)</f>
        <v>0.5</v>
      </c>
    </row>
    <row r="15" spans="1:10" x14ac:dyDescent="0.25">
      <c r="A15" s="1" t="s">
        <v>16</v>
      </c>
      <c r="B15" s="1" t="s">
        <v>31</v>
      </c>
      <c r="C15" s="11"/>
      <c r="D15" s="11"/>
      <c r="E15" s="11"/>
      <c r="F15" s="11">
        <v>30</v>
      </c>
      <c r="G15" s="11">
        <f t="shared" si="0"/>
        <v>30</v>
      </c>
      <c r="H15" s="17">
        <f t="shared" si="1"/>
        <v>0.03</v>
      </c>
      <c r="I15" s="16">
        <f t="shared" si="2"/>
        <v>0</v>
      </c>
      <c r="J15" s="16">
        <f>ROUND(G15/90-1,2)</f>
        <v>-0.67</v>
      </c>
    </row>
    <row r="16" spans="1:10" x14ac:dyDescent="0.25">
      <c r="A16" s="1" t="s">
        <v>16</v>
      </c>
      <c r="B16" s="1" t="s">
        <v>32</v>
      </c>
      <c r="C16" s="11"/>
      <c r="D16" s="11"/>
      <c r="E16" s="11"/>
      <c r="F16" s="11">
        <v>65</v>
      </c>
      <c r="G16" s="11">
        <f t="shared" si="0"/>
        <v>65</v>
      </c>
      <c r="H16" s="17">
        <f t="shared" si="1"/>
        <v>0.06</v>
      </c>
      <c r="I16" s="16">
        <f t="shared" si="2"/>
        <v>0</v>
      </c>
      <c r="J16" s="16">
        <f>ROUND(G16/20-1,2)</f>
        <v>2.25</v>
      </c>
    </row>
    <row r="17" spans="1:10" x14ac:dyDescent="0.25">
      <c r="A17" s="1" t="s">
        <v>16</v>
      </c>
      <c r="B17" s="1" t="s">
        <v>33</v>
      </c>
      <c r="C17" s="11"/>
      <c r="D17" s="11"/>
      <c r="E17" s="11"/>
      <c r="F17" s="11">
        <v>195</v>
      </c>
      <c r="G17" s="11">
        <f t="shared" si="0"/>
        <v>195</v>
      </c>
      <c r="H17" s="17">
        <f t="shared" si="1"/>
        <v>0.18</v>
      </c>
      <c r="I17" s="16">
        <f t="shared" si="2"/>
        <v>0</v>
      </c>
      <c r="J17" s="16">
        <f>ROUND(G17/220-1,2)</f>
        <v>-0.11</v>
      </c>
    </row>
    <row r="18" spans="1:10" x14ac:dyDescent="0.25">
      <c r="A18" s="1" t="s">
        <v>16</v>
      </c>
      <c r="B18" s="1" t="s">
        <v>34</v>
      </c>
      <c r="C18" s="11"/>
      <c r="D18" s="11">
        <v>73</v>
      </c>
      <c r="E18" s="11">
        <v>26</v>
      </c>
      <c r="F18" s="11">
        <v>47</v>
      </c>
      <c r="G18" s="11">
        <f t="shared" si="0"/>
        <v>146</v>
      </c>
      <c r="H18" s="17">
        <f t="shared" si="1"/>
        <v>0.13</v>
      </c>
      <c r="I18" s="16">
        <f t="shared" si="2"/>
        <v>0</v>
      </c>
      <c r="J18" s="16">
        <f>ROUND(G18/170-1,2)</f>
        <v>-0.14000000000000001</v>
      </c>
    </row>
    <row r="19" spans="1:10" x14ac:dyDescent="0.25">
      <c r="A19" s="1" t="s">
        <v>16</v>
      </c>
      <c r="B19" s="1" t="s">
        <v>35</v>
      </c>
      <c r="C19" s="11"/>
      <c r="D19" s="11"/>
      <c r="E19" s="11"/>
      <c r="F19" s="11">
        <v>77</v>
      </c>
      <c r="G19" s="11">
        <f t="shared" si="0"/>
        <v>77</v>
      </c>
      <c r="H19" s="17">
        <f t="shared" si="1"/>
        <v>7.0000000000000007E-2</v>
      </c>
      <c r="I19" s="16">
        <f t="shared" si="2"/>
        <v>0</v>
      </c>
      <c r="J19" s="16"/>
    </row>
    <row r="20" spans="1:10" x14ac:dyDescent="0.25">
      <c r="A20" s="1" t="s">
        <v>16</v>
      </c>
      <c r="B20" s="1" t="s">
        <v>40</v>
      </c>
      <c r="C20" s="11"/>
      <c r="D20" s="11"/>
      <c r="E20" s="11">
        <v>2200</v>
      </c>
      <c r="F20" s="11">
        <v>7180</v>
      </c>
      <c r="G20" s="11">
        <f t="shared" si="0"/>
        <v>9380</v>
      </c>
      <c r="H20" s="17">
        <f t="shared" si="1"/>
        <v>8.64</v>
      </c>
      <c r="I20" s="16">
        <f t="shared" si="2"/>
        <v>2.3E-2</v>
      </c>
      <c r="J20" s="16">
        <f>ROUND(G20/5330-1,2)</f>
        <v>0.76</v>
      </c>
    </row>
    <row r="21" spans="1:10" x14ac:dyDescent="0.25">
      <c r="A21" s="1" t="s">
        <v>16</v>
      </c>
      <c r="B21" s="1" t="s">
        <v>42</v>
      </c>
      <c r="C21" s="11"/>
      <c r="D21" s="11"/>
      <c r="E21" s="11"/>
      <c r="F21" s="11">
        <v>4370</v>
      </c>
      <c r="G21" s="11">
        <f t="shared" si="0"/>
        <v>4370</v>
      </c>
      <c r="H21" s="17">
        <f t="shared" si="1"/>
        <v>4.0199999999999996</v>
      </c>
      <c r="I21" s="16">
        <f t="shared" si="2"/>
        <v>1.0999999999999999E-2</v>
      </c>
      <c r="J21" s="16">
        <f>ROUND(G21/3140-1,2)</f>
        <v>0.39</v>
      </c>
    </row>
    <row r="22" spans="1:10" x14ac:dyDescent="0.25">
      <c r="A22" s="1" t="s">
        <v>16</v>
      </c>
      <c r="B22" s="1" t="s">
        <v>44</v>
      </c>
      <c r="C22" s="11"/>
      <c r="D22" s="11"/>
      <c r="E22" s="11"/>
      <c r="F22" s="11">
        <v>29760</v>
      </c>
      <c r="G22" s="11">
        <f t="shared" si="0"/>
        <v>29760</v>
      </c>
      <c r="H22" s="17">
        <f t="shared" si="1"/>
        <v>27.4</v>
      </c>
      <c r="I22" s="16">
        <f t="shared" si="2"/>
        <v>7.2999999999999995E-2</v>
      </c>
      <c r="J22" s="16">
        <f>ROUND(G22/31720-1,2)</f>
        <v>-0.06</v>
      </c>
    </row>
    <row r="23" spans="1:10" x14ac:dyDescent="0.25">
      <c r="A23" s="1" t="s">
        <v>16</v>
      </c>
      <c r="B23" s="1" t="s">
        <v>36</v>
      </c>
      <c r="C23" s="11"/>
      <c r="D23" s="11"/>
      <c r="E23" s="11"/>
      <c r="F23" s="11"/>
      <c r="G23" s="11">
        <f t="shared" si="0"/>
        <v>0</v>
      </c>
      <c r="H23" s="17">
        <f t="shared" si="1"/>
        <v>0</v>
      </c>
      <c r="I23" s="16">
        <f t="shared" si="2"/>
        <v>0</v>
      </c>
      <c r="J23" s="16">
        <f>ROUND(G23/150-1,2)</f>
        <v>-1</v>
      </c>
    </row>
    <row r="24" spans="1:10" x14ac:dyDescent="0.25">
      <c r="A24" s="1" t="s">
        <v>16</v>
      </c>
      <c r="B24" s="1" t="s">
        <v>21</v>
      </c>
      <c r="C24" s="11"/>
      <c r="D24" s="11"/>
      <c r="E24" s="11"/>
      <c r="F24" s="11"/>
      <c r="G24" s="11">
        <f t="shared" si="0"/>
        <v>0</v>
      </c>
      <c r="H24" s="17">
        <f t="shared" si="1"/>
        <v>0</v>
      </c>
      <c r="I24" s="16">
        <f t="shared" si="2"/>
        <v>0</v>
      </c>
      <c r="J24" s="16">
        <f>ROUND(G24/12-1,2)</f>
        <v>-1</v>
      </c>
    </row>
    <row r="25" spans="1:10" x14ac:dyDescent="0.25">
      <c r="A25" s="1" t="s">
        <v>45</v>
      </c>
      <c r="B25" s="1" t="s">
        <v>46</v>
      </c>
      <c r="C25" s="11">
        <v>123080</v>
      </c>
      <c r="D25" s="11"/>
      <c r="E25" s="11"/>
      <c r="F25" s="11"/>
      <c r="G25" s="11">
        <f t="shared" si="0"/>
        <v>123080</v>
      </c>
      <c r="H25" s="17">
        <f t="shared" si="1"/>
        <v>113.33</v>
      </c>
      <c r="I25" s="16">
        <f t="shared" si="2"/>
        <v>0.30199999999999999</v>
      </c>
      <c r="J25" s="16">
        <f>ROUND(G25/93510-1,2)</f>
        <v>0.32</v>
      </c>
    </row>
    <row r="26" spans="1:10" x14ac:dyDescent="0.25">
      <c r="A26" s="1" t="s">
        <v>45</v>
      </c>
      <c r="B26" s="1" t="s">
        <v>47</v>
      </c>
      <c r="C26" s="11"/>
      <c r="D26" s="11"/>
      <c r="E26" s="11">
        <v>2180</v>
      </c>
      <c r="F26" s="11">
        <v>8480</v>
      </c>
      <c r="G26" s="11">
        <f t="shared" si="0"/>
        <v>10660</v>
      </c>
      <c r="H26" s="17">
        <f t="shared" si="1"/>
        <v>9.82</v>
      </c>
      <c r="I26" s="16">
        <f t="shared" si="2"/>
        <v>2.5999999999999999E-2</v>
      </c>
      <c r="J26" s="16">
        <f>ROUND(G26/9760-1,2)</f>
        <v>0.09</v>
      </c>
    </row>
    <row r="27" spans="1:10" x14ac:dyDescent="0.25">
      <c r="A27" s="1" t="s">
        <v>49</v>
      </c>
      <c r="B27" s="1" t="s">
        <v>51</v>
      </c>
      <c r="C27" s="11"/>
      <c r="D27" s="11"/>
      <c r="E27" s="11"/>
      <c r="F27" s="11"/>
      <c r="G27" s="11">
        <f t="shared" si="0"/>
        <v>0</v>
      </c>
      <c r="H27" s="17">
        <f t="shared" si="1"/>
        <v>0</v>
      </c>
      <c r="I27" s="16">
        <f t="shared" si="2"/>
        <v>0</v>
      </c>
      <c r="J27" s="16">
        <f>ROUND(G27/491-1,2)</f>
        <v>-1</v>
      </c>
    </row>
    <row r="28" spans="1:10" x14ac:dyDescent="0.25">
      <c r="A28" s="1" t="s">
        <v>49</v>
      </c>
      <c r="B28" s="1" t="s">
        <v>52</v>
      </c>
      <c r="C28" s="11"/>
      <c r="D28" s="11"/>
      <c r="E28" s="11"/>
      <c r="F28" s="11"/>
      <c r="G28" s="11">
        <f t="shared" si="0"/>
        <v>0</v>
      </c>
      <c r="H28" s="17">
        <f t="shared" si="1"/>
        <v>0</v>
      </c>
      <c r="I28" s="16">
        <f t="shared" si="2"/>
        <v>0</v>
      </c>
      <c r="J28" s="16"/>
    </row>
    <row r="29" spans="1:10" x14ac:dyDescent="0.25">
      <c r="A29" s="26" t="s">
        <v>12</v>
      </c>
      <c r="B29" s="26"/>
      <c r="C29" s="12">
        <f t="shared" ref="C29:H29" si="3">SUM(C8:C28)</f>
        <v>352200</v>
      </c>
      <c r="D29" s="12">
        <f t="shared" si="3"/>
        <v>73</v>
      </c>
      <c r="E29" s="12">
        <f t="shared" si="3"/>
        <v>4406</v>
      </c>
      <c r="F29" s="12">
        <f t="shared" si="3"/>
        <v>51362</v>
      </c>
      <c r="G29" s="12">
        <f t="shared" si="3"/>
        <v>408041</v>
      </c>
      <c r="H29" s="15">
        <f t="shared" si="3"/>
        <v>375.71999999999997</v>
      </c>
      <c r="I29" s="18"/>
      <c r="J29" s="18"/>
    </row>
    <row r="30" spans="1:10" x14ac:dyDescent="0.25">
      <c r="A30" s="26" t="s">
        <v>14</v>
      </c>
      <c r="B30" s="26"/>
      <c r="C30" s="13">
        <f>ROUND(C29/G29,2)</f>
        <v>0.86</v>
      </c>
      <c r="D30" s="13">
        <f>ROUND(D29/G29,2)</f>
        <v>0</v>
      </c>
      <c r="E30" s="13">
        <f>ROUND(E29/G29,2)</f>
        <v>0.01</v>
      </c>
      <c r="F30" s="13">
        <f>ROUND(F29/G29,2)</f>
        <v>0.13</v>
      </c>
      <c r="G30" s="14"/>
      <c r="H30" s="14"/>
      <c r="I30" s="18"/>
      <c r="J30" s="18"/>
    </row>
    <row r="31" spans="1:10" x14ac:dyDescent="0.25">
      <c r="A31" s="2" t="s">
        <v>53</v>
      </c>
      <c r="B31" s="2"/>
      <c r="C31" s="14"/>
      <c r="D31" s="14"/>
      <c r="E31" s="14"/>
      <c r="F31" s="14"/>
      <c r="G31" s="14"/>
      <c r="H31" s="14"/>
      <c r="I31" s="18"/>
      <c r="J31" s="18"/>
    </row>
    <row r="32" spans="1:10" x14ac:dyDescent="0.25">
      <c r="C32" s="9"/>
      <c r="D32" s="9"/>
      <c r="E32" s="9"/>
      <c r="F32" s="9"/>
      <c r="G32" s="9"/>
      <c r="H32" s="9"/>
      <c r="I32" s="10"/>
      <c r="J32" s="10"/>
    </row>
    <row r="33" spans="1:10" x14ac:dyDescent="0.25">
      <c r="C33" s="9"/>
      <c r="D33" s="9"/>
      <c r="E33" s="9"/>
      <c r="F33" s="9"/>
      <c r="G33" s="9"/>
      <c r="H33" s="9"/>
      <c r="I33" s="10"/>
      <c r="J33" s="10"/>
    </row>
    <row r="34" spans="1:10" x14ac:dyDescent="0.25">
      <c r="C34" s="9"/>
      <c r="D34" s="9"/>
      <c r="E34" s="9"/>
      <c r="F34" s="9"/>
      <c r="G34" s="9"/>
      <c r="H34" s="9"/>
      <c r="I34" s="10"/>
      <c r="J34" s="10"/>
    </row>
    <row r="35" spans="1:10" x14ac:dyDescent="0.25">
      <c r="A35" s="26" t="s">
        <v>54</v>
      </c>
      <c r="B35" s="26"/>
      <c r="C35" s="12" t="s">
        <v>8</v>
      </c>
      <c r="D35" s="12" t="s">
        <v>9</v>
      </c>
      <c r="E35" s="12" t="s">
        <v>10</v>
      </c>
      <c r="F35" s="12" t="s">
        <v>11</v>
      </c>
      <c r="G35" s="12" t="s">
        <v>12</v>
      </c>
      <c r="H35" s="15" t="s">
        <v>13</v>
      </c>
      <c r="I35" s="18"/>
      <c r="J35" s="18"/>
    </row>
    <row r="36" spans="1:10" x14ac:dyDescent="0.25">
      <c r="A36" s="21" t="s">
        <v>55</v>
      </c>
      <c r="B36" s="21"/>
      <c r="C36" s="11">
        <v>229120</v>
      </c>
      <c r="D36" s="11">
        <v>73</v>
      </c>
      <c r="E36" s="11">
        <v>2226</v>
      </c>
      <c r="F36" s="11">
        <v>42882</v>
      </c>
      <c r="G36" s="11">
        <f>SUM(C36:F36)</f>
        <v>274301</v>
      </c>
      <c r="H36" s="17">
        <f>ROUND(G36/1086,2)</f>
        <v>252.58</v>
      </c>
      <c r="I36" s="10"/>
      <c r="J36" s="10"/>
    </row>
    <row r="37" spans="1:10" x14ac:dyDescent="0.25">
      <c r="A37" s="21" t="s">
        <v>56</v>
      </c>
      <c r="B37" s="21"/>
      <c r="C37" s="11">
        <v>123080</v>
      </c>
      <c r="D37" s="11">
        <v>0</v>
      </c>
      <c r="E37" s="11">
        <v>2180</v>
      </c>
      <c r="F37" s="11">
        <v>8480</v>
      </c>
      <c r="G37" s="11">
        <f>SUM(C37:F37)</f>
        <v>133740</v>
      </c>
      <c r="H37" s="17">
        <f>ROUND(G37/1086,2)</f>
        <v>123.15</v>
      </c>
      <c r="I37" s="10"/>
      <c r="J37" s="10"/>
    </row>
    <row r="38" spans="1:10" x14ac:dyDescent="0.25">
      <c r="A38" s="21" t="s">
        <v>57</v>
      </c>
      <c r="B38" s="21"/>
      <c r="C38" s="11">
        <v>0</v>
      </c>
      <c r="D38" s="11">
        <v>0</v>
      </c>
      <c r="E38" s="11">
        <v>0</v>
      </c>
      <c r="F38" s="11">
        <v>0</v>
      </c>
      <c r="G38" s="11">
        <f>SUM(C38:F38)</f>
        <v>0</v>
      </c>
      <c r="H38" s="17">
        <f>ROUND(G38/1086,2)</f>
        <v>0</v>
      </c>
      <c r="I38" s="10"/>
      <c r="J38" s="10"/>
    </row>
    <row r="39" spans="1:10" x14ac:dyDescent="0.25">
      <c r="C39" s="9"/>
      <c r="D39" s="9"/>
      <c r="E39" s="9"/>
      <c r="F39" s="9"/>
      <c r="G39" s="9"/>
      <c r="H39" s="9"/>
      <c r="I39" s="10"/>
      <c r="J39" s="10"/>
    </row>
    <row r="40" spans="1:10" x14ac:dyDescent="0.25">
      <c r="C40" s="9"/>
      <c r="D40" s="9"/>
      <c r="E40" s="9"/>
      <c r="F40" s="9"/>
      <c r="G40" s="9"/>
      <c r="H40" s="9"/>
      <c r="I40" s="10"/>
      <c r="J40" s="10"/>
    </row>
    <row r="41" spans="1:10" x14ac:dyDescent="0.25">
      <c r="C41" s="9"/>
      <c r="D41" s="9"/>
      <c r="E41" s="9"/>
      <c r="F41" s="9"/>
      <c r="G41" s="9"/>
      <c r="H41" s="9"/>
      <c r="I41" s="10"/>
      <c r="J41" s="10"/>
    </row>
    <row r="42" spans="1:10" x14ac:dyDescent="0.25">
      <c r="C42" s="9"/>
      <c r="D42" s="9"/>
      <c r="E42" s="9"/>
      <c r="F42" s="9"/>
      <c r="G42" s="9"/>
      <c r="H42" s="9"/>
      <c r="I42" s="10"/>
      <c r="J42" s="10"/>
    </row>
    <row r="43" spans="1:10" x14ac:dyDescent="0.25">
      <c r="A43" s="26" t="s">
        <v>58</v>
      </c>
      <c r="B43" s="26"/>
      <c r="C43" s="15" t="s">
        <v>2</v>
      </c>
      <c r="D43" s="15">
        <v>2024</v>
      </c>
      <c r="E43" s="15" t="s">
        <v>60</v>
      </c>
      <c r="F43" s="14"/>
      <c r="G43" s="15" t="s">
        <v>61</v>
      </c>
      <c r="H43" s="15" t="s">
        <v>2</v>
      </c>
      <c r="I43" s="13" t="s">
        <v>62</v>
      </c>
      <c r="J43" s="13" t="s">
        <v>60</v>
      </c>
    </row>
    <row r="44" spans="1:10" x14ac:dyDescent="0.25">
      <c r="A44" s="21" t="s">
        <v>59</v>
      </c>
      <c r="B44" s="21"/>
      <c r="C44" s="16">
        <f>ROUND(0.6984, 4)</f>
        <v>0.69840000000000002</v>
      </c>
      <c r="D44" s="16">
        <f>ROUND(0.7486, 4)</f>
        <v>0.74860000000000004</v>
      </c>
      <c r="E44" s="16">
        <f>ROUND(0.7856, 4)</f>
        <v>0.78559999999999997</v>
      </c>
      <c r="F44" s="9"/>
      <c r="G44" s="15" t="s">
        <v>63</v>
      </c>
      <c r="H44" s="27" t="s">
        <v>64</v>
      </c>
      <c r="I44" s="24" t="s">
        <v>65</v>
      </c>
      <c r="J44" s="24" t="s">
        <v>66</v>
      </c>
    </row>
    <row r="45" spans="1:10" x14ac:dyDescent="0.25">
      <c r="A45" s="21" t="s">
        <v>67</v>
      </c>
      <c r="B45" s="21"/>
      <c r="C45" s="16">
        <f>ROUND(0.6984, 4)</f>
        <v>0.69840000000000002</v>
      </c>
      <c r="D45" s="16">
        <f>ROUND(0.7359, 4)</f>
        <v>0.7359</v>
      </c>
      <c r="E45" s="16">
        <f>ROUND(0.7702, 4)</f>
        <v>0.7702</v>
      </c>
      <c r="F45" s="9"/>
      <c r="G45" s="15" t="s">
        <v>68</v>
      </c>
      <c r="H45" s="28"/>
      <c r="I45" s="25"/>
      <c r="J45" s="25"/>
    </row>
    <row r="46" spans="1:10" x14ac:dyDescent="0.25">
      <c r="C46" s="9"/>
      <c r="D46" s="9"/>
      <c r="E46" s="9"/>
      <c r="F46" s="9"/>
      <c r="G46" s="9"/>
      <c r="H46" s="9"/>
      <c r="I46" s="10"/>
      <c r="J46" s="10"/>
    </row>
    <row r="47" spans="1:10" x14ac:dyDescent="0.25">
      <c r="C47" s="9"/>
      <c r="D47" s="9"/>
      <c r="E47" s="9"/>
      <c r="F47" s="9"/>
      <c r="G47" s="9"/>
      <c r="H47" s="9"/>
      <c r="I47" s="10"/>
      <c r="J47" s="10"/>
    </row>
    <row r="48" spans="1:10" x14ac:dyDescent="0.25">
      <c r="C48" s="9"/>
      <c r="D48" s="9"/>
      <c r="E48" s="9"/>
      <c r="F48" s="9"/>
      <c r="G48" s="9"/>
      <c r="H48" s="9"/>
      <c r="I48" s="10"/>
      <c r="J48" s="10"/>
    </row>
    <row r="49" spans="1:10" x14ac:dyDescent="0.25">
      <c r="A49" s="26" t="s">
        <v>69</v>
      </c>
      <c r="B49" s="26"/>
      <c r="C49" s="15" t="s">
        <v>2</v>
      </c>
      <c r="D49" s="15" t="s">
        <v>166</v>
      </c>
      <c r="E49" s="15" t="s">
        <v>71</v>
      </c>
      <c r="F49" s="15" t="s">
        <v>72</v>
      </c>
      <c r="G49" s="15" t="s">
        <v>73</v>
      </c>
      <c r="H49" s="14"/>
      <c r="I49" s="18"/>
      <c r="J49" s="18"/>
    </row>
    <row r="50" spans="1:10" x14ac:dyDescent="0.25">
      <c r="A50" s="21" t="s">
        <v>74</v>
      </c>
      <c r="B50" s="21"/>
      <c r="C50" s="17">
        <v>113.33</v>
      </c>
      <c r="D50" s="17">
        <v>93.2</v>
      </c>
      <c r="E50" s="17">
        <v>96.15</v>
      </c>
      <c r="F50" s="17">
        <v>57.94</v>
      </c>
      <c r="G50" s="17">
        <f>12/12*C50</f>
        <v>113.33</v>
      </c>
      <c r="H50" s="9"/>
      <c r="I50" s="10"/>
      <c r="J50" s="10"/>
    </row>
    <row r="51" spans="1:10" x14ac:dyDescent="0.25">
      <c r="A51" s="21" t="s">
        <v>75</v>
      </c>
      <c r="B51" s="21"/>
      <c r="C51" s="17">
        <v>85.71</v>
      </c>
      <c r="D51" s="17">
        <v>96.07</v>
      </c>
      <c r="E51" s="17">
        <v>62.28</v>
      </c>
      <c r="F51" s="17">
        <v>66.599999999999994</v>
      </c>
      <c r="G51" s="17">
        <f>12/12*C51</f>
        <v>85.71</v>
      </c>
      <c r="H51" s="9"/>
      <c r="I51" s="10"/>
      <c r="J51" s="10"/>
    </row>
    <row r="52" spans="1:10" x14ac:dyDescent="0.25">
      <c r="A52" s="21" t="s">
        <v>76</v>
      </c>
      <c r="B52" s="21"/>
      <c r="C52" s="17">
        <v>252.58</v>
      </c>
      <c r="D52" s="17">
        <v>252.41</v>
      </c>
      <c r="E52" s="17">
        <v>300.02</v>
      </c>
      <c r="F52" s="17">
        <v>295.08</v>
      </c>
      <c r="G52" s="17">
        <f>12/12*C52</f>
        <v>252.58</v>
      </c>
      <c r="H52" s="9"/>
      <c r="I52" s="10"/>
      <c r="J52" s="10"/>
    </row>
    <row r="53" spans="1:10" x14ac:dyDescent="0.25">
      <c r="A53" s="21" t="s">
        <v>77</v>
      </c>
      <c r="B53" s="21"/>
      <c r="C53" s="17">
        <v>123.15</v>
      </c>
      <c r="D53" s="17">
        <v>103.35</v>
      </c>
      <c r="E53" s="17">
        <v>120.96</v>
      </c>
      <c r="F53" s="17">
        <v>83.12</v>
      </c>
      <c r="G53" s="17">
        <f>12/12*C53</f>
        <v>123.15</v>
      </c>
      <c r="H53" s="9"/>
      <c r="I53" s="10"/>
      <c r="J53" s="10"/>
    </row>
    <row r="54" spans="1:10" x14ac:dyDescent="0.25">
      <c r="C54" s="9"/>
      <c r="D54" s="9"/>
      <c r="E54" s="9"/>
      <c r="F54" s="9"/>
      <c r="G54" s="9"/>
      <c r="H54" s="9"/>
      <c r="I54" s="10"/>
      <c r="J54" s="10"/>
    </row>
    <row r="55" spans="1:10" x14ac:dyDescent="0.25">
      <c r="C55" s="9"/>
      <c r="D55" s="9"/>
      <c r="E55" s="9"/>
      <c r="F55" s="9"/>
      <c r="G55" s="9"/>
      <c r="H55" s="9"/>
      <c r="I55" s="10"/>
      <c r="J55" s="10"/>
    </row>
    <row r="56" spans="1:10" x14ac:dyDescent="0.25">
      <c r="A56" s="22" t="s">
        <v>61</v>
      </c>
      <c r="B56" s="23"/>
      <c r="C56" s="9"/>
      <c r="D56" s="9"/>
      <c r="E56" s="9"/>
      <c r="F56" s="9"/>
      <c r="G56" s="9"/>
      <c r="H56" s="9"/>
      <c r="I56" s="10"/>
      <c r="J56" s="10"/>
    </row>
    <row r="57" spans="1:10" x14ac:dyDescent="0.25">
      <c r="A57" s="3" t="s">
        <v>78</v>
      </c>
      <c r="B57" s="1" t="s">
        <v>167</v>
      </c>
      <c r="C57" s="9"/>
      <c r="D57" s="9"/>
      <c r="E57" s="9"/>
      <c r="F57" s="9"/>
      <c r="G57" s="9"/>
      <c r="H57" s="9"/>
      <c r="I57" s="10"/>
      <c r="J57" s="10"/>
    </row>
    <row r="58" spans="1:10" x14ac:dyDescent="0.25">
      <c r="A58" s="3" t="s">
        <v>71</v>
      </c>
      <c r="B58" s="1" t="s">
        <v>80</v>
      </c>
      <c r="C58" s="9"/>
      <c r="D58" s="9"/>
      <c r="E58" s="9"/>
      <c r="F58" s="9"/>
      <c r="G58" s="9"/>
      <c r="H58" s="9"/>
      <c r="I58" s="10"/>
      <c r="J58" s="10"/>
    </row>
    <row r="59" spans="1:10" x14ac:dyDescent="0.25">
      <c r="A59" s="3" t="s">
        <v>72</v>
      </c>
      <c r="B59" s="1" t="s">
        <v>81</v>
      </c>
      <c r="C59" s="9"/>
      <c r="D59" s="9"/>
      <c r="E59" s="9"/>
      <c r="F59" s="9"/>
      <c r="G59" s="9"/>
      <c r="H59" s="9"/>
      <c r="I59" s="10"/>
      <c r="J59" s="10"/>
    </row>
    <row r="60" spans="1:10" x14ac:dyDescent="0.25">
      <c r="A60" s="3" t="s">
        <v>73</v>
      </c>
      <c r="B60" s="1" t="s">
        <v>82</v>
      </c>
      <c r="C60" s="9"/>
      <c r="D60" s="9"/>
      <c r="E60" s="9"/>
      <c r="F60" s="9"/>
      <c r="G60" s="9"/>
      <c r="H60" s="9"/>
      <c r="I60" s="10"/>
      <c r="J60" s="10"/>
    </row>
    <row r="61" spans="1:10" x14ac:dyDescent="0.25">
      <c r="C61" s="9"/>
      <c r="D61" s="9"/>
      <c r="E61" s="9"/>
      <c r="F61" s="9"/>
      <c r="G61" s="9"/>
      <c r="H61" s="9"/>
      <c r="I61" s="10"/>
      <c r="J61" s="10"/>
    </row>
    <row r="62" spans="1:10" x14ac:dyDescent="0.25">
      <c r="C62" s="9"/>
      <c r="D62" s="9"/>
      <c r="E62" s="9"/>
      <c r="F62" s="9"/>
      <c r="G62" s="9"/>
      <c r="H62" s="9"/>
      <c r="I62" s="10"/>
      <c r="J62" s="10"/>
    </row>
    <row r="63" spans="1:10" x14ac:dyDescent="0.25">
      <c r="C63" s="9"/>
      <c r="D63" s="9"/>
      <c r="E63" s="9"/>
      <c r="F63" s="9"/>
      <c r="G63" s="9"/>
      <c r="H63" s="9"/>
      <c r="I63" s="10"/>
      <c r="J63" s="10"/>
    </row>
    <row r="64" spans="1:10" x14ac:dyDescent="0.25">
      <c r="C64" s="9"/>
      <c r="D64" s="9"/>
      <c r="E64" s="9"/>
      <c r="F64" s="9"/>
      <c r="G64" s="9"/>
      <c r="H64" s="9"/>
      <c r="I64" s="10"/>
      <c r="J64" s="10"/>
    </row>
    <row r="65" spans="3:10" x14ac:dyDescent="0.25">
      <c r="C65" s="9"/>
      <c r="D65" s="9"/>
      <c r="E65" s="9"/>
      <c r="F65" s="9"/>
      <c r="G65" s="9"/>
      <c r="H65" s="9"/>
      <c r="I65" s="10"/>
      <c r="J65" s="10"/>
    </row>
    <row r="66" spans="3:10" x14ac:dyDescent="0.25">
      <c r="C66" s="9"/>
      <c r="D66" s="9"/>
      <c r="E66" s="9"/>
      <c r="F66" s="9"/>
      <c r="G66" s="9"/>
      <c r="H66" s="9"/>
      <c r="I66" s="10"/>
      <c r="J66" s="10"/>
    </row>
    <row r="67" spans="3:10" x14ac:dyDescent="0.25">
      <c r="C67" s="9"/>
      <c r="D67" s="9"/>
      <c r="E67" s="9"/>
      <c r="F67" s="9"/>
      <c r="G67" s="9"/>
      <c r="H67" s="9"/>
      <c r="I67" s="10"/>
      <c r="J67" s="10"/>
    </row>
    <row r="68" spans="3:10" x14ac:dyDescent="0.25">
      <c r="C68" s="9"/>
      <c r="D68" s="9"/>
      <c r="E68" s="9"/>
      <c r="F68" s="9"/>
      <c r="G68" s="9"/>
      <c r="H68" s="9"/>
      <c r="I68" s="10"/>
      <c r="J68" s="10"/>
    </row>
    <row r="69" spans="3:10" x14ac:dyDescent="0.25">
      <c r="C69" s="9"/>
      <c r="D69" s="9"/>
      <c r="E69" s="9"/>
      <c r="F69" s="9"/>
      <c r="G69" s="9"/>
      <c r="H69" s="9"/>
      <c r="I69" s="10"/>
      <c r="J69" s="10"/>
    </row>
    <row r="70" spans="3:10" x14ac:dyDescent="0.25">
      <c r="C70" s="9"/>
      <c r="D70" s="9"/>
      <c r="E70" s="9"/>
      <c r="F70" s="9"/>
      <c r="G70" s="9"/>
      <c r="H70" s="9"/>
      <c r="I70" s="10"/>
      <c r="J70" s="10"/>
    </row>
    <row r="71" spans="3:10" x14ac:dyDescent="0.25">
      <c r="C71" s="9"/>
      <c r="D71" s="9"/>
      <c r="E71" s="9"/>
      <c r="F71" s="9"/>
      <c r="G71" s="9"/>
      <c r="H71" s="9"/>
      <c r="I71" s="10"/>
      <c r="J71" s="10"/>
    </row>
    <row r="72" spans="3:10" x14ac:dyDescent="0.25">
      <c r="C72" s="9"/>
      <c r="D72" s="9"/>
      <c r="E72" s="9"/>
      <c r="F72" s="9"/>
      <c r="G72" s="9"/>
      <c r="H72" s="9"/>
      <c r="I72" s="10"/>
      <c r="J72" s="10"/>
    </row>
  </sheetData>
  <mergeCells count="19">
    <mergeCell ref="C7:G7"/>
    <mergeCell ref="A29:B29"/>
    <mergeCell ref="A30:B30"/>
    <mergeCell ref="A35:B35"/>
    <mergeCell ref="A36:B36"/>
    <mergeCell ref="J44:J45"/>
    <mergeCell ref="A45:B45"/>
    <mergeCell ref="A49:B49"/>
    <mergeCell ref="A50:B50"/>
    <mergeCell ref="A37:B37"/>
    <mergeCell ref="A38:B38"/>
    <mergeCell ref="A43:B43"/>
    <mergeCell ref="A44:B44"/>
    <mergeCell ref="H44:H45"/>
    <mergeCell ref="A51:B51"/>
    <mergeCell ref="A52:B52"/>
    <mergeCell ref="A53:B53"/>
    <mergeCell ref="A56:B56"/>
    <mergeCell ref="I44:I4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J74"/>
  <sheetViews>
    <sheetView workbookViewId="0">
      <selection activeCell="H5" sqref="H5"/>
    </sheetView>
  </sheetViews>
  <sheetFormatPr defaultRowHeight="15" x14ac:dyDescent="0.25"/>
  <cols>
    <col min="1" max="1" width="28.42578125" bestFit="1" customWidth="1"/>
    <col min="2" max="2" width="59.5703125" bestFit="1" customWidth="1"/>
    <col min="3" max="3" width="12.7109375" bestFit="1" customWidth="1"/>
    <col min="4" max="4" width="33.85546875" bestFit="1" customWidth="1"/>
    <col min="5" max="5" width="13.85546875" bestFit="1" customWidth="1"/>
    <col min="6" max="6" width="8.5703125" bestFit="1" customWidth="1"/>
    <col min="7" max="7" width="47.7109375" bestFit="1" customWidth="1"/>
    <col min="8" max="9" width="16.7109375" bestFit="1" customWidth="1"/>
    <col min="10" max="10" width="24.42578125" bestFit="1" customWidth="1"/>
  </cols>
  <sheetData>
    <row r="2" spans="1:10" ht="18.75" x14ac:dyDescent="0.3">
      <c r="A2" s="3" t="s">
        <v>0</v>
      </c>
      <c r="B2" s="4" t="s">
        <v>168</v>
      </c>
    </row>
    <row r="3" spans="1:10" x14ac:dyDescent="0.25">
      <c r="A3" s="3" t="s">
        <v>2</v>
      </c>
      <c r="B3" s="1" t="s">
        <v>3</v>
      </c>
    </row>
    <row r="4" spans="1:10" x14ac:dyDescent="0.25">
      <c r="A4" s="3" t="s">
        <v>4</v>
      </c>
      <c r="B4" s="20">
        <v>1689</v>
      </c>
    </row>
    <row r="7" spans="1:10" x14ac:dyDescent="0.25">
      <c r="C7" s="22" t="s">
        <v>5</v>
      </c>
      <c r="D7" s="21"/>
      <c r="E7" s="21"/>
      <c r="F7" s="21"/>
      <c r="G7" s="21"/>
    </row>
    <row r="8" spans="1:10" x14ac:dyDescent="0.25">
      <c r="A8" s="3" t="s">
        <v>6</v>
      </c>
      <c r="B8" s="3" t="s">
        <v>7</v>
      </c>
      <c r="C8" s="15" t="s">
        <v>8</v>
      </c>
      <c r="D8" s="15" t="s">
        <v>9</v>
      </c>
      <c r="E8" s="15" t="s">
        <v>10</v>
      </c>
      <c r="F8" s="15" t="s">
        <v>11</v>
      </c>
      <c r="G8" s="15" t="s">
        <v>12</v>
      </c>
      <c r="H8" s="15" t="s">
        <v>13</v>
      </c>
      <c r="I8" s="15" t="s">
        <v>14</v>
      </c>
      <c r="J8" s="15" t="s">
        <v>15</v>
      </c>
    </row>
    <row r="9" spans="1:10" x14ac:dyDescent="0.25">
      <c r="A9" s="1" t="s">
        <v>49</v>
      </c>
      <c r="B9" s="1" t="s">
        <v>162</v>
      </c>
      <c r="C9" s="11"/>
      <c r="D9" s="11"/>
      <c r="E9" s="11">
        <v>6600</v>
      </c>
      <c r="F9" s="11"/>
      <c r="G9" s="11">
        <f t="shared" ref="G9:G40" si="0">SUM(C9:F9)</f>
        <v>6600</v>
      </c>
      <c r="H9" s="17">
        <f t="shared" ref="H9:H40" si="1">ROUND(G9/1689,2)</f>
        <v>3.91</v>
      </c>
      <c r="I9" s="16">
        <f t="shared" ref="I9:I40" si="2">ROUND(G9/$G$41,3)</f>
        <v>0.01</v>
      </c>
      <c r="J9" s="16">
        <f>ROUND(G9/23342-1,2)</f>
        <v>-0.72</v>
      </c>
    </row>
    <row r="10" spans="1:10" x14ac:dyDescent="0.25">
      <c r="A10" s="1" t="s">
        <v>49</v>
      </c>
      <c r="B10" s="1" t="s">
        <v>169</v>
      </c>
      <c r="C10" s="11"/>
      <c r="D10" s="11"/>
      <c r="E10" s="11"/>
      <c r="F10" s="11"/>
      <c r="G10" s="11">
        <f t="shared" si="0"/>
        <v>0</v>
      </c>
      <c r="H10" s="17">
        <f t="shared" si="1"/>
        <v>0</v>
      </c>
      <c r="I10" s="16">
        <f t="shared" si="2"/>
        <v>0</v>
      </c>
      <c r="J10" s="16"/>
    </row>
    <row r="11" spans="1:10" x14ac:dyDescent="0.25">
      <c r="A11" s="1" t="s">
        <v>49</v>
      </c>
      <c r="B11" s="1" t="s">
        <v>52</v>
      </c>
      <c r="C11" s="11"/>
      <c r="D11" s="11"/>
      <c r="E11" s="11"/>
      <c r="F11" s="11"/>
      <c r="G11" s="11">
        <f t="shared" si="0"/>
        <v>0</v>
      </c>
      <c r="H11" s="17">
        <f t="shared" si="1"/>
        <v>0</v>
      </c>
      <c r="I11" s="16">
        <f t="shared" si="2"/>
        <v>0</v>
      </c>
      <c r="J11" s="16"/>
    </row>
    <row r="12" spans="1:10" x14ac:dyDescent="0.25">
      <c r="A12" s="1" t="s">
        <v>16</v>
      </c>
      <c r="B12" s="1" t="s">
        <v>19</v>
      </c>
      <c r="C12" s="11">
        <v>58380</v>
      </c>
      <c r="D12" s="11"/>
      <c r="E12" s="11"/>
      <c r="F12" s="11"/>
      <c r="G12" s="11">
        <f t="shared" si="0"/>
        <v>58380</v>
      </c>
      <c r="H12" s="17">
        <f t="shared" si="1"/>
        <v>34.56</v>
      </c>
      <c r="I12" s="16">
        <f t="shared" si="2"/>
        <v>9.0999999999999998E-2</v>
      </c>
      <c r="J12" s="16">
        <f>ROUND(G12/57540-1,2)</f>
        <v>0.01</v>
      </c>
    </row>
    <row r="13" spans="1:10" x14ac:dyDescent="0.25">
      <c r="A13" s="1" t="s">
        <v>16</v>
      </c>
      <c r="B13" s="1" t="s">
        <v>20</v>
      </c>
      <c r="C13" s="11">
        <v>63290</v>
      </c>
      <c r="D13" s="11"/>
      <c r="E13" s="11"/>
      <c r="F13" s="11"/>
      <c r="G13" s="11">
        <f t="shared" si="0"/>
        <v>63290</v>
      </c>
      <c r="H13" s="17">
        <f t="shared" si="1"/>
        <v>37.47</v>
      </c>
      <c r="I13" s="16">
        <f t="shared" si="2"/>
        <v>9.9000000000000005E-2</v>
      </c>
      <c r="J13" s="16">
        <f>ROUND(G13/74330-1,2)</f>
        <v>-0.15</v>
      </c>
    </row>
    <row r="14" spans="1:10" x14ac:dyDescent="0.25">
      <c r="A14" s="1" t="s">
        <v>16</v>
      </c>
      <c r="B14" s="1" t="s">
        <v>87</v>
      </c>
      <c r="C14" s="11"/>
      <c r="D14" s="11"/>
      <c r="E14" s="11">
        <v>59</v>
      </c>
      <c r="F14" s="11"/>
      <c r="G14" s="11">
        <f t="shared" si="0"/>
        <v>59</v>
      </c>
      <c r="H14" s="17">
        <f t="shared" si="1"/>
        <v>0.03</v>
      </c>
      <c r="I14" s="16">
        <f t="shared" si="2"/>
        <v>0</v>
      </c>
      <c r="J14" s="16">
        <f>ROUND(G14/56-1,2)</f>
        <v>0.05</v>
      </c>
    </row>
    <row r="15" spans="1:10" x14ac:dyDescent="0.25">
      <c r="A15" s="1" t="s">
        <v>16</v>
      </c>
      <c r="B15" s="1" t="s">
        <v>21</v>
      </c>
      <c r="C15" s="11"/>
      <c r="D15" s="11"/>
      <c r="E15" s="11">
        <v>118</v>
      </c>
      <c r="F15" s="11"/>
      <c r="G15" s="11">
        <f t="shared" si="0"/>
        <v>118</v>
      </c>
      <c r="H15" s="17">
        <f t="shared" si="1"/>
        <v>7.0000000000000007E-2</v>
      </c>
      <c r="I15" s="16">
        <f t="shared" si="2"/>
        <v>0</v>
      </c>
      <c r="J15" s="16">
        <f>ROUND(G15/224-1,2)</f>
        <v>-0.47</v>
      </c>
    </row>
    <row r="16" spans="1:10" x14ac:dyDescent="0.25">
      <c r="A16" s="1" t="s">
        <v>16</v>
      </c>
      <c r="B16" s="1" t="s">
        <v>22</v>
      </c>
      <c r="C16" s="11"/>
      <c r="D16" s="11"/>
      <c r="E16" s="11">
        <v>2100</v>
      </c>
      <c r="F16" s="11"/>
      <c r="G16" s="11">
        <f t="shared" si="0"/>
        <v>2100</v>
      </c>
      <c r="H16" s="17">
        <f t="shared" si="1"/>
        <v>1.24</v>
      </c>
      <c r="I16" s="16">
        <f t="shared" si="2"/>
        <v>3.0000000000000001E-3</v>
      </c>
      <c r="J16" s="16">
        <f>ROUND(G16/2400-1,2)</f>
        <v>-0.13</v>
      </c>
    </row>
    <row r="17" spans="1:10" x14ac:dyDescent="0.25">
      <c r="A17" s="1" t="s">
        <v>16</v>
      </c>
      <c r="B17" s="1" t="s">
        <v>24</v>
      </c>
      <c r="C17" s="11">
        <v>69920</v>
      </c>
      <c r="D17" s="11"/>
      <c r="E17" s="11"/>
      <c r="F17" s="11"/>
      <c r="G17" s="11">
        <f t="shared" si="0"/>
        <v>69920</v>
      </c>
      <c r="H17" s="17">
        <f t="shared" si="1"/>
        <v>41.4</v>
      </c>
      <c r="I17" s="16">
        <f t="shared" si="2"/>
        <v>0.109</v>
      </c>
      <c r="J17" s="16">
        <f>ROUND(G17/67740-1,2)</f>
        <v>0.03</v>
      </c>
    </row>
    <row r="18" spans="1:10" x14ac:dyDescent="0.25">
      <c r="A18" s="1" t="s">
        <v>16</v>
      </c>
      <c r="B18" s="1" t="s">
        <v>25</v>
      </c>
      <c r="C18" s="11"/>
      <c r="D18" s="11"/>
      <c r="E18" s="11">
        <v>2775</v>
      </c>
      <c r="F18" s="11"/>
      <c r="G18" s="11">
        <f t="shared" si="0"/>
        <v>2775</v>
      </c>
      <c r="H18" s="17">
        <f t="shared" si="1"/>
        <v>1.64</v>
      </c>
      <c r="I18" s="16">
        <f t="shared" si="2"/>
        <v>4.0000000000000001E-3</v>
      </c>
      <c r="J18" s="16">
        <f>ROUND(G18/2035-1,2)</f>
        <v>0.36</v>
      </c>
    </row>
    <row r="19" spans="1:10" x14ac:dyDescent="0.25">
      <c r="A19" s="1" t="s">
        <v>16</v>
      </c>
      <c r="B19" s="1" t="s">
        <v>26</v>
      </c>
      <c r="C19" s="11">
        <v>145320</v>
      </c>
      <c r="D19" s="11"/>
      <c r="E19" s="11"/>
      <c r="F19" s="11">
        <v>1460</v>
      </c>
      <c r="G19" s="11">
        <f t="shared" si="0"/>
        <v>146780</v>
      </c>
      <c r="H19" s="17">
        <f t="shared" si="1"/>
        <v>86.9</v>
      </c>
      <c r="I19" s="16">
        <f t="shared" si="2"/>
        <v>0.22900000000000001</v>
      </c>
      <c r="J19" s="16">
        <f>ROUND(G19/129400-1,2)</f>
        <v>0.13</v>
      </c>
    </row>
    <row r="20" spans="1:10" x14ac:dyDescent="0.25">
      <c r="A20" s="1" t="s">
        <v>16</v>
      </c>
      <c r="B20" s="1" t="s">
        <v>27</v>
      </c>
      <c r="C20" s="11"/>
      <c r="D20" s="11"/>
      <c r="E20" s="11">
        <v>922</v>
      </c>
      <c r="F20" s="11"/>
      <c r="G20" s="11">
        <f t="shared" si="0"/>
        <v>922</v>
      </c>
      <c r="H20" s="17">
        <f t="shared" si="1"/>
        <v>0.55000000000000004</v>
      </c>
      <c r="I20" s="16">
        <f t="shared" si="2"/>
        <v>1E-3</v>
      </c>
      <c r="J20" s="16">
        <f>ROUND(G20/1448-1,2)</f>
        <v>-0.36</v>
      </c>
    </row>
    <row r="21" spans="1:10" x14ac:dyDescent="0.25">
      <c r="A21" s="1" t="s">
        <v>16</v>
      </c>
      <c r="B21" s="1" t="s">
        <v>28</v>
      </c>
      <c r="C21" s="11"/>
      <c r="D21" s="11"/>
      <c r="E21" s="11">
        <v>846</v>
      </c>
      <c r="F21" s="11"/>
      <c r="G21" s="11">
        <f t="shared" si="0"/>
        <v>846</v>
      </c>
      <c r="H21" s="17">
        <f t="shared" si="1"/>
        <v>0.5</v>
      </c>
      <c r="I21" s="16">
        <f t="shared" si="2"/>
        <v>1E-3</v>
      </c>
      <c r="J21" s="16">
        <f>ROUND(G21/49-1,2)</f>
        <v>16.27</v>
      </c>
    </row>
    <row r="22" spans="1:10" x14ac:dyDescent="0.25">
      <c r="A22" s="1" t="s">
        <v>16</v>
      </c>
      <c r="B22" s="1" t="s">
        <v>30</v>
      </c>
      <c r="C22" s="11"/>
      <c r="D22" s="11"/>
      <c r="E22" s="11">
        <v>4310</v>
      </c>
      <c r="F22" s="11"/>
      <c r="G22" s="11">
        <f t="shared" si="0"/>
        <v>4310</v>
      </c>
      <c r="H22" s="17">
        <f t="shared" si="1"/>
        <v>2.5499999999999998</v>
      </c>
      <c r="I22" s="16">
        <f t="shared" si="2"/>
        <v>7.0000000000000001E-3</v>
      </c>
      <c r="J22" s="16">
        <f>ROUND(G22/4370-1,2)</f>
        <v>-0.01</v>
      </c>
    </row>
    <row r="23" spans="1:10" x14ac:dyDescent="0.25">
      <c r="A23" s="1" t="s">
        <v>16</v>
      </c>
      <c r="B23" s="1" t="s">
        <v>31</v>
      </c>
      <c r="C23" s="11"/>
      <c r="D23" s="11"/>
      <c r="E23" s="11">
        <v>650</v>
      </c>
      <c r="F23" s="11"/>
      <c r="G23" s="11">
        <f t="shared" si="0"/>
        <v>650</v>
      </c>
      <c r="H23" s="17">
        <f t="shared" si="1"/>
        <v>0.38</v>
      </c>
      <c r="I23" s="16">
        <f t="shared" si="2"/>
        <v>1E-3</v>
      </c>
      <c r="J23" s="16">
        <f>ROUND(G23/620-1,2)</f>
        <v>0.05</v>
      </c>
    </row>
    <row r="24" spans="1:10" x14ac:dyDescent="0.25">
      <c r="A24" s="1" t="s">
        <v>16</v>
      </c>
      <c r="B24" s="1" t="s">
        <v>32</v>
      </c>
      <c r="C24" s="11"/>
      <c r="D24" s="11"/>
      <c r="E24" s="11">
        <v>800</v>
      </c>
      <c r="F24" s="11"/>
      <c r="G24" s="11">
        <f t="shared" si="0"/>
        <v>800</v>
      </c>
      <c r="H24" s="17">
        <f t="shared" si="1"/>
        <v>0.47</v>
      </c>
      <c r="I24" s="16">
        <f t="shared" si="2"/>
        <v>1E-3</v>
      </c>
      <c r="J24" s="16">
        <f>ROUND(G24/270-1,2)</f>
        <v>1.96</v>
      </c>
    </row>
    <row r="25" spans="1:10" x14ac:dyDescent="0.25">
      <c r="A25" s="1" t="s">
        <v>16</v>
      </c>
      <c r="B25" s="1" t="s">
        <v>33</v>
      </c>
      <c r="C25" s="11"/>
      <c r="D25" s="11"/>
      <c r="E25" s="11">
        <v>1325</v>
      </c>
      <c r="F25" s="11"/>
      <c r="G25" s="11">
        <f t="shared" si="0"/>
        <v>1325</v>
      </c>
      <c r="H25" s="17">
        <f t="shared" si="1"/>
        <v>0.78</v>
      </c>
      <c r="I25" s="16">
        <f t="shared" si="2"/>
        <v>2E-3</v>
      </c>
      <c r="J25" s="16">
        <f>ROUND(G25/2330-1,2)</f>
        <v>-0.43</v>
      </c>
    </row>
    <row r="26" spans="1:10" x14ac:dyDescent="0.25">
      <c r="A26" s="1" t="s">
        <v>16</v>
      </c>
      <c r="B26" s="1" t="s">
        <v>34</v>
      </c>
      <c r="C26" s="11"/>
      <c r="D26" s="11">
        <v>17</v>
      </c>
      <c r="E26" s="11">
        <v>142</v>
      </c>
      <c r="F26" s="11"/>
      <c r="G26" s="11">
        <f t="shared" si="0"/>
        <v>159</v>
      </c>
      <c r="H26" s="17">
        <f t="shared" si="1"/>
        <v>0.09</v>
      </c>
      <c r="I26" s="16">
        <f t="shared" si="2"/>
        <v>0</v>
      </c>
      <c r="J26" s="16">
        <f>ROUND(G26/171-1,2)</f>
        <v>-7.0000000000000007E-2</v>
      </c>
    </row>
    <row r="27" spans="1:10" x14ac:dyDescent="0.25">
      <c r="A27" s="1" t="s">
        <v>16</v>
      </c>
      <c r="B27" s="1" t="s">
        <v>35</v>
      </c>
      <c r="C27" s="11"/>
      <c r="D27" s="11"/>
      <c r="E27" s="11">
        <v>648</v>
      </c>
      <c r="F27" s="11"/>
      <c r="G27" s="11">
        <f t="shared" si="0"/>
        <v>648</v>
      </c>
      <c r="H27" s="17">
        <f t="shared" si="1"/>
        <v>0.38</v>
      </c>
      <c r="I27" s="16">
        <f t="shared" si="2"/>
        <v>1E-3</v>
      </c>
      <c r="J27" s="16">
        <f>ROUND(G27/970-1,2)</f>
        <v>-0.33</v>
      </c>
    </row>
    <row r="28" spans="1:10" x14ac:dyDescent="0.25">
      <c r="A28" s="1" t="s">
        <v>16</v>
      </c>
      <c r="B28" s="1" t="s">
        <v>37</v>
      </c>
      <c r="C28" s="11"/>
      <c r="D28" s="11"/>
      <c r="E28" s="11">
        <v>1070</v>
      </c>
      <c r="F28" s="11"/>
      <c r="G28" s="11">
        <f t="shared" si="0"/>
        <v>1070</v>
      </c>
      <c r="H28" s="17">
        <f t="shared" si="1"/>
        <v>0.63</v>
      </c>
      <c r="I28" s="16">
        <f t="shared" si="2"/>
        <v>2E-3</v>
      </c>
      <c r="J28" s="16">
        <f>ROUND(G28/1870-1,2)</f>
        <v>-0.43</v>
      </c>
    </row>
    <row r="29" spans="1:10" x14ac:dyDescent="0.25">
      <c r="A29" s="1" t="s">
        <v>16</v>
      </c>
      <c r="B29" s="1" t="s">
        <v>39</v>
      </c>
      <c r="C29" s="11"/>
      <c r="D29" s="11"/>
      <c r="E29" s="11">
        <v>4310</v>
      </c>
      <c r="F29" s="11"/>
      <c r="G29" s="11">
        <f t="shared" si="0"/>
        <v>4310</v>
      </c>
      <c r="H29" s="17">
        <f t="shared" si="1"/>
        <v>2.5499999999999998</v>
      </c>
      <c r="I29" s="16">
        <f t="shared" si="2"/>
        <v>7.0000000000000001E-3</v>
      </c>
      <c r="J29" s="16">
        <f>ROUND(G29/5150-1,2)</f>
        <v>-0.16</v>
      </c>
    </row>
    <row r="30" spans="1:10" x14ac:dyDescent="0.25">
      <c r="A30" s="1" t="s">
        <v>16</v>
      </c>
      <c r="B30" s="1" t="s">
        <v>38</v>
      </c>
      <c r="C30" s="11"/>
      <c r="D30" s="11"/>
      <c r="E30" s="11">
        <v>2660</v>
      </c>
      <c r="F30" s="11"/>
      <c r="G30" s="11">
        <f t="shared" si="0"/>
        <v>2660</v>
      </c>
      <c r="H30" s="17">
        <f t="shared" si="1"/>
        <v>1.57</v>
      </c>
      <c r="I30" s="16">
        <f t="shared" si="2"/>
        <v>4.0000000000000001E-3</v>
      </c>
      <c r="J30" s="16">
        <f>ROUND(G30/6950-1,2)</f>
        <v>-0.62</v>
      </c>
    </row>
    <row r="31" spans="1:10" x14ac:dyDescent="0.25">
      <c r="A31" s="1" t="s">
        <v>16</v>
      </c>
      <c r="B31" s="1" t="s">
        <v>40</v>
      </c>
      <c r="C31" s="11"/>
      <c r="D31" s="11"/>
      <c r="E31" s="11">
        <v>44535</v>
      </c>
      <c r="F31" s="11"/>
      <c r="G31" s="11">
        <f t="shared" si="0"/>
        <v>44535</v>
      </c>
      <c r="H31" s="17">
        <f t="shared" si="1"/>
        <v>26.37</v>
      </c>
      <c r="I31" s="16">
        <f t="shared" si="2"/>
        <v>7.0000000000000007E-2</v>
      </c>
      <c r="J31" s="16">
        <f>ROUND(G31/66360-1,2)</f>
        <v>-0.33</v>
      </c>
    </row>
    <row r="32" spans="1:10" x14ac:dyDescent="0.25">
      <c r="A32" s="1" t="s">
        <v>16</v>
      </c>
      <c r="B32" s="1" t="s">
        <v>42</v>
      </c>
      <c r="C32" s="11"/>
      <c r="D32" s="11"/>
      <c r="E32" s="11">
        <v>13390</v>
      </c>
      <c r="F32" s="11"/>
      <c r="G32" s="11">
        <f t="shared" si="0"/>
        <v>13390</v>
      </c>
      <c r="H32" s="17">
        <f t="shared" si="1"/>
        <v>7.93</v>
      </c>
      <c r="I32" s="16">
        <f t="shared" si="2"/>
        <v>2.1000000000000001E-2</v>
      </c>
      <c r="J32" s="16">
        <f>ROUND(G32/20710-1,2)</f>
        <v>-0.35</v>
      </c>
    </row>
    <row r="33" spans="1:10" x14ac:dyDescent="0.25">
      <c r="A33" s="1" t="s">
        <v>16</v>
      </c>
      <c r="B33" s="1" t="s">
        <v>44</v>
      </c>
      <c r="C33" s="11"/>
      <c r="D33" s="11"/>
      <c r="E33" s="11">
        <v>17940</v>
      </c>
      <c r="F33" s="11"/>
      <c r="G33" s="11">
        <f t="shared" si="0"/>
        <v>17940</v>
      </c>
      <c r="H33" s="17">
        <f t="shared" si="1"/>
        <v>10.62</v>
      </c>
      <c r="I33" s="16">
        <f t="shared" si="2"/>
        <v>2.8000000000000001E-2</v>
      </c>
      <c r="J33" s="16">
        <f>ROUND(G33/33680-1,2)</f>
        <v>-0.47</v>
      </c>
    </row>
    <row r="34" spans="1:10" x14ac:dyDescent="0.25">
      <c r="A34" s="1" t="s">
        <v>16</v>
      </c>
      <c r="B34" s="1" t="s">
        <v>92</v>
      </c>
      <c r="C34" s="11"/>
      <c r="D34" s="11"/>
      <c r="E34" s="11"/>
      <c r="F34" s="11"/>
      <c r="G34" s="11">
        <f t="shared" si="0"/>
        <v>0</v>
      </c>
      <c r="H34" s="17">
        <f t="shared" si="1"/>
        <v>0</v>
      </c>
      <c r="I34" s="16">
        <f t="shared" si="2"/>
        <v>0</v>
      </c>
      <c r="J34" s="16"/>
    </row>
    <row r="35" spans="1:10" x14ac:dyDescent="0.25">
      <c r="A35" s="1" t="s">
        <v>16</v>
      </c>
      <c r="B35" s="1" t="s">
        <v>134</v>
      </c>
      <c r="C35" s="11"/>
      <c r="D35" s="11"/>
      <c r="E35" s="11"/>
      <c r="F35" s="11"/>
      <c r="G35" s="11">
        <f t="shared" si="0"/>
        <v>0</v>
      </c>
      <c r="H35" s="17">
        <f t="shared" si="1"/>
        <v>0</v>
      </c>
      <c r="I35" s="16">
        <f t="shared" si="2"/>
        <v>0</v>
      </c>
      <c r="J35" s="16"/>
    </row>
    <row r="36" spans="1:10" x14ac:dyDescent="0.25">
      <c r="A36" s="1" t="s">
        <v>16</v>
      </c>
      <c r="B36" s="1" t="s">
        <v>36</v>
      </c>
      <c r="C36" s="11"/>
      <c r="D36" s="11"/>
      <c r="E36" s="11"/>
      <c r="F36" s="11"/>
      <c r="G36" s="11">
        <f t="shared" si="0"/>
        <v>0</v>
      </c>
      <c r="H36" s="17">
        <f t="shared" si="1"/>
        <v>0</v>
      </c>
      <c r="I36" s="16">
        <f t="shared" si="2"/>
        <v>0</v>
      </c>
      <c r="J36" s="16">
        <f>ROUND(G36/341-1,2)</f>
        <v>-1</v>
      </c>
    </row>
    <row r="37" spans="1:10" x14ac:dyDescent="0.25">
      <c r="A37" s="1" t="s">
        <v>16</v>
      </c>
      <c r="B37" s="1" t="s">
        <v>29</v>
      </c>
      <c r="C37" s="11"/>
      <c r="D37" s="11"/>
      <c r="E37" s="11"/>
      <c r="F37" s="11"/>
      <c r="G37" s="11">
        <f t="shared" si="0"/>
        <v>0</v>
      </c>
      <c r="H37" s="17">
        <f t="shared" si="1"/>
        <v>0</v>
      </c>
      <c r="I37" s="16">
        <f t="shared" si="2"/>
        <v>0</v>
      </c>
      <c r="J37" s="16">
        <f>ROUND(G37/512-1,2)</f>
        <v>-1</v>
      </c>
    </row>
    <row r="38" spans="1:10" x14ac:dyDescent="0.25">
      <c r="A38" s="1" t="s">
        <v>45</v>
      </c>
      <c r="B38" s="1" t="s">
        <v>46</v>
      </c>
      <c r="C38" s="11">
        <v>156940</v>
      </c>
      <c r="D38" s="11"/>
      <c r="E38" s="11"/>
      <c r="F38" s="11"/>
      <c r="G38" s="11">
        <f t="shared" si="0"/>
        <v>156940</v>
      </c>
      <c r="H38" s="17">
        <f t="shared" si="1"/>
        <v>92.92</v>
      </c>
      <c r="I38" s="16">
        <f t="shared" si="2"/>
        <v>0.245</v>
      </c>
      <c r="J38" s="16">
        <f>ROUND(G38/135940-1,2)</f>
        <v>0.15</v>
      </c>
    </row>
    <row r="39" spans="1:10" x14ac:dyDescent="0.25">
      <c r="A39" s="1" t="s">
        <v>45</v>
      </c>
      <c r="B39" s="1" t="s">
        <v>47</v>
      </c>
      <c r="C39" s="11"/>
      <c r="D39" s="11"/>
      <c r="E39" s="11">
        <v>39490</v>
      </c>
      <c r="F39" s="11"/>
      <c r="G39" s="11">
        <f t="shared" si="0"/>
        <v>39490</v>
      </c>
      <c r="H39" s="17">
        <f t="shared" si="1"/>
        <v>23.38</v>
      </c>
      <c r="I39" s="16">
        <f t="shared" si="2"/>
        <v>6.2E-2</v>
      </c>
      <c r="J39" s="16">
        <f>ROUND(G39/43070-1,2)</f>
        <v>-0.08</v>
      </c>
    </row>
    <row r="40" spans="1:10" x14ac:dyDescent="0.25">
      <c r="A40" s="1" t="s">
        <v>45</v>
      </c>
      <c r="B40" s="1" t="s">
        <v>48</v>
      </c>
      <c r="C40" s="11"/>
      <c r="D40" s="11"/>
      <c r="E40" s="11"/>
      <c r="F40" s="11"/>
      <c r="G40" s="11">
        <f t="shared" si="0"/>
        <v>0</v>
      </c>
      <c r="H40" s="17">
        <f t="shared" si="1"/>
        <v>0</v>
      </c>
      <c r="I40" s="16">
        <f t="shared" si="2"/>
        <v>0</v>
      </c>
      <c r="J40" s="16"/>
    </row>
    <row r="41" spans="1:10" x14ac:dyDescent="0.25">
      <c r="A41" s="26" t="s">
        <v>12</v>
      </c>
      <c r="B41" s="26"/>
      <c r="C41" s="12">
        <f t="shared" ref="C41:H41" si="3">SUM(C8:C40)</f>
        <v>493850</v>
      </c>
      <c r="D41" s="12">
        <f t="shared" si="3"/>
        <v>17</v>
      </c>
      <c r="E41" s="12">
        <f t="shared" si="3"/>
        <v>144690</v>
      </c>
      <c r="F41" s="12">
        <f t="shared" si="3"/>
        <v>1460</v>
      </c>
      <c r="G41" s="12">
        <f t="shared" si="3"/>
        <v>640017</v>
      </c>
      <c r="H41" s="15">
        <f t="shared" si="3"/>
        <v>378.89</v>
      </c>
      <c r="I41" s="18"/>
      <c r="J41" s="18"/>
    </row>
    <row r="42" spans="1:10" x14ac:dyDescent="0.25">
      <c r="A42" s="26" t="s">
        <v>14</v>
      </c>
      <c r="B42" s="26"/>
      <c r="C42" s="13">
        <f>ROUND(C41/G41,2)</f>
        <v>0.77</v>
      </c>
      <c r="D42" s="13">
        <f>ROUND(D41/G41,2)</f>
        <v>0</v>
      </c>
      <c r="E42" s="13">
        <f>ROUND(E41/G41,2)</f>
        <v>0.23</v>
      </c>
      <c r="F42" s="13">
        <f>ROUND(F41/G41,2)</f>
        <v>0</v>
      </c>
      <c r="G42" s="14"/>
      <c r="H42" s="14"/>
      <c r="I42" s="18"/>
      <c r="J42" s="18"/>
    </row>
    <row r="43" spans="1:10" x14ac:dyDescent="0.25">
      <c r="A43" s="2" t="s">
        <v>53</v>
      </c>
      <c r="B43" s="2"/>
      <c r="C43" s="14"/>
      <c r="D43" s="14"/>
      <c r="E43" s="14"/>
      <c r="F43" s="14"/>
      <c r="G43" s="14"/>
      <c r="H43" s="14"/>
      <c r="I43" s="18"/>
      <c r="J43" s="18"/>
    </row>
    <row r="44" spans="1:10" x14ac:dyDescent="0.25">
      <c r="C44" s="9"/>
      <c r="D44" s="9"/>
      <c r="E44" s="9"/>
      <c r="F44" s="9"/>
      <c r="G44" s="9"/>
      <c r="H44" s="9"/>
      <c r="I44" s="10"/>
      <c r="J44" s="10"/>
    </row>
    <row r="45" spans="1:10" x14ac:dyDescent="0.25">
      <c r="C45" s="9"/>
      <c r="D45" s="9"/>
      <c r="E45" s="9"/>
      <c r="F45" s="9"/>
      <c r="G45" s="9"/>
      <c r="H45" s="9"/>
      <c r="I45" s="10"/>
      <c r="J45" s="10"/>
    </row>
    <row r="46" spans="1:10" x14ac:dyDescent="0.25">
      <c r="C46" s="9"/>
      <c r="D46" s="9"/>
      <c r="E46" s="9"/>
      <c r="F46" s="9"/>
      <c r="G46" s="9"/>
      <c r="H46" s="9"/>
      <c r="I46" s="10"/>
      <c r="J46" s="10"/>
    </row>
    <row r="47" spans="1:10" x14ac:dyDescent="0.25">
      <c r="A47" s="26" t="s">
        <v>54</v>
      </c>
      <c r="B47" s="26"/>
      <c r="C47" s="12" t="s">
        <v>8</v>
      </c>
      <c r="D47" s="12" t="s">
        <v>9</v>
      </c>
      <c r="E47" s="12" t="s">
        <v>10</v>
      </c>
      <c r="F47" s="12" t="s">
        <v>11</v>
      </c>
      <c r="G47" s="12" t="s">
        <v>12</v>
      </c>
      <c r="H47" s="15" t="s">
        <v>13</v>
      </c>
      <c r="I47" s="18"/>
      <c r="J47" s="18"/>
    </row>
    <row r="48" spans="1:10" x14ac:dyDescent="0.25">
      <c r="A48" s="21" t="s">
        <v>55</v>
      </c>
      <c r="B48" s="21"/>
      <c r="C48" s="11">
        <v>336910</v>
      </c>
      <c r="D48" s="11">
        <v>17</v>
      </c>
      <c r="E48" s="11">
        <v>98600</v>
      </c>
      <c r="F48" s="11">
        <v>1460</v>
      </c>
      <c r="G48" s="11">
        <f>SUM(C48:F48)</f>
        <v>436987</v>
      </c>
      <c r="H48" s="17">
        <f>ROUND(G48/1689,2)</f>
        <v>258.73</v>
      </c>
      <c r="I48" s="10"/>
      <c r="J48" s="10"/>
    </row>
    <row r="49" spans="1:10" x14ac:dyDescent="0.25">
      <c r="A49" s="21" t="s">
        <v>56</v>
      </c>
      <c r="B49" s="21"/>
      <c r="C49" s="11">
        <v>156940</v>
      </c>
      <c r="D49" s="11">
        <v>0</v>
      </c>
      <c r="E49" s="11">
        <v>39490</v>
      </c>
      <c r="F49" s="11">
        <v>0</v>
      </c>
      <c r="G49" s="11">
        <f>SUM(C49:F49)</f>
        <v>196430</v>
      </c>
      <c r="H49" s="17">
        <f>ROUND(G49/1689,2)</f>
        <v>116.3</v>
      </c>
      <c r="I49" s="10"/>
      <c r="J49" s="10"/>
    </row>
    <row r="50" spans="1:10" x14ac:dyDescent="0.25">
      <c r="A50" s="21" t="s">
        <v>57</v>
      </c>
      <c r="B50" s="21"/>
      <c r="C50" s="11">
        <v>0</v>
      </c>
      <c r="D50" s="11">
        <v>0</v>
      </c>
      <c r="E50" s="11">
        <v>6600</v>
      </c>
      <c r="F50" s="11">
        <v>0</v>
      </c>
      <c r="G50" s="11">
        <f>SUM(C50:F50)</f>
        <v>6600</v>
      </c>
      <c r="H50" s="17">
        <f>ROUND(G50/1689,2)</f>
        <v>3.91</v>
      </c>
      <c r="I50" s="10"/>
      <c r="J50" s="10"/>
    </row>
    <row r="51" spans="1:10" x14ac:dyDescent="0.25">
      <c r="C51" s="9"/>
      <c r="D51" s="9"/>
      <c r="E51" s="9"/>
      <c r="F51" s="9"/>
      <c r="G51" s="9"/>
      <c r="H51" s="9"/>
      <c r="I51" s="10"/>
      <c r="J51" s="10"/>
    </row>
    <row r="52" spans="1:10" x14ac:dyDescent="0.25">
      <c r="C52" s="9"/>
      <c r="D52" s="9"/>
      <c r="E52" s="9"/>
      <c r="F52" s="9"/>
      <c r="G52" s="9"/>
      <c r="H52" s="9"/>
      <c r="I52" s="10"/>
      <c r="J52" s="10"/>
    </row>
    <row r="53" spans="1:10" x14ac:dyDescent="0.25">
      <c r="C53" s="9"/>
      <c r="D53" s="9"/>
      <c r="E53" s="9"/>
      <c r="F53" s="9"/>
      <c r="G53" s="9"/>
      <c r="H53" s="9"/>
      <c r="I53" s="10"/>
      <c r="J53" s="10"/>
    </row>
    <row r="54" spans="1:10" x14ac:dyDescent="0.25">
      <c r="C54" s="9"/>
      <c r="D54" s="9"/>
      <c r="E54" s="9"/>
      <c r="F54" s="9"/>
      <c r="G54" s="9"/>
      <c r="H54" s="9"/>
      <c r="I54" s="10"/>
      <c r="J54" s="10"/>
    </row>
    <row r="55" spans="1:10" x14ac:dyDescent="0.25">
      <c r="A55" s="26" t="s">
        <v>58</v>
      </c>
      <c r="B55" s="26"/>
      <c r="C55" s="15" t="s">
        <v>2</v>
      </c>
      <c r="D55" s="15">
        <v>2024</v>
      </c>
      <c r="E55" s="15" t="s">
        <v>60</v>
      </c>
      <c r="F55" s="14"/>
      <c r="G55" s="15" t="s">
        <v>61</v>
      </c>
      <c r="H55" s="15" t="s">
        <v>2</v>
      </c>
      <c r="I55" s="13" t="s">
        <v>62</v>
      </c>
      <c r="J55" s="13" t="s">
        <v>60</v>
      </c>
    </row>
    <row r="56" spans="1:10" x14ac:dyDescent="0.25">
      <c r="A56" s="21" t="s">
        <v>59</v>
      </c>
      <c r="B56" s="21"/>
      <c r="C56" s="16">
        <f>ROUND(0.7514, 4)</f>
        <v>0.75139999999999996</v>
      </c>
      <c r="D56" s="16">
        <f>ROUND(0.7916, 4)</f>
        <v>0.79159999999999997</v>
      </c>
      <c r="E56" s="16">
        <f>ROUND(0.7856, 4)</f>
        <v>0.78559999999999997</v>
      </c>
      <c r="F56" s="9"/>
      <c r="G56" s="15" t="s">
        <v>63</v>
      </c>
      <c r="H56" s="27" t="s">
        <v>64</v>
      </c>
      <c r="I56" s="24" t="s">
        <v>65</v>
      </c>
      <c r="J56" s="24" t="s">
        <v>66</v>
      </c>
    </row>
    <row r="57" spans="1:10" x14ac:dyDescent="0.25">
      <c r="A57" s="21" t="s">
        <v>67</v>
      </c>
      <c r="B57" s="21"/>
      <c r="C57" s="16">
        <f>ROUND(0.7514, 4)</f>
        <v>0.75139999999999996</v>
      </c>
      <c r="D57" s="16">
        <f>ROUND(0.7803, 4)</f>
        <v>0.78029999999999999</v>
      </c>
      <c r="E57" s="16">
        <f>ROUND(0.7702, 4)</f>
        <v>0.7702</v>
      </c>
      <c r="F57" s="9"/>
      <c r="G57" s="15" t="s">
        <v>68</v>
      </c>
      <c r="H57" s="28"/>
      <c r="I57" s="25"/>
      <c r="J57" s="25"/>
    </row>
    <row r="58" spans="1:10" x14ac:dyDescent="0.25">
      <c r="C58" s="9"/>
      <c r="D58" s="9"/>
      <c r="E58" s="9"/>
      <c r="F58" s="9"/>
      <c r="G58" s="9"/>
      <c r="H58" s="9"/>
      <c r="I58" s="10"/>
      <c r="J58" s="10"/>
    </row>
    <row r="59" spans="1:10" x14ac:dyDescent="0.25">
      <c r="C59" s="9"/>
      <c r="D59" s="9"/>
      <c r="E59" s="9"/>
      <c r="F59" s="9"/>
      <c r="G59" s="9"/>
      <c r="H59" s="9"/>
      <c r="I59" s="10"/>
      <c r="J59" s="10"/>
    </row>
    <row r="60" spans="1:10" x14ac:dyDescent="0.25">
      <c r="C60" s="9"/>
      <c r="D60" s="9"/>
      <c r="E60" s="9"/>
      <c r="F60" s="9"/>
      <c r="G60" s="9"/>
      <c r="H60" s="9"/>
      <c r="I60" s="10"/>
      <c r="J60" s="10"/>
    </row>
    <row r="61" spans="1:10" x14ac:dyDescent="0.25">
      <c r="A61" s="26" t="s">
        <v>69</v>
      </c>
      <c r="B61" s="26"/>
      <c r="C61" s="15" t="s">
        <v>2</v>
      </c>
      <c r="D61" s="15" t="s">
        <v>170</v>
      </c>
      <c r="E61" s="15" t="s">
        <v>71</v>
      </c>
      <c r="F61" s="15" t="s">
        <v>72</v>
      </c>
      <c r="G61" s="15" t="s">
        <v>73</v>
      </c>
      <c r="H61" s="14"/>
      <c r="I61" s="18"/>
      <c r="J61" s="18"/>
    </row>
    <row r="62" spans="1:10" x14ac:dyDescent="0.25">
      <c r="A62" s="21" t="s">
        <v>74</v>
      </c>
      <c r="B62" s="21"/>
      <c r="C62" s="17">
        <v>92.92</v>
      </c>
      <c r="D62" s="17">
        <v>78.47</v>
      </c>
      <c r="E62" s="17">
        <v>96.15</v>
      </c>
      <c r="F62" s="17">
        <v>57.94</v>
      </c>
      <c r="G62" s="17">
        <f>12/12*C62</f>
        <v>92.92</v>
      </c>
      <c r="H62" s="9"/>
      <c r="I62" s="10"/>
      <c r="J62" s="10"/>
    </row>
    <row r="63" spans="1:10" x14ac:dyDescent="0.25">
      <c r="A63" s="21" t="s">
        <v>75</v>
      </c>
      <c r="B63" s="21"/>
      <c r="C63" s="17">
        <v>86.9</v>
      </c>
      <c r="D63" s="17">
        <v>79.31</v>
      </c>
      <c r="E63" s="17">
        <v>62.28</v>
      </c>
      <c r="F63" s="17">
        <v>66.599999999999994</v>
      </c>
      <c r="G63" s="17">
        <f>12/12*C63</f>
        <v>86.9</v>
      </c>
      <c r="H63" s="9"/>
      <c r="I63" s="10"/>
      <c r="J63" s="10"/>
    </row>
    <row r="64" spans="1:10" x14ac:dyDescent="0.25">
      <c r="A64" s="21" t="s">
        <v>76</v>
      </c>
      <c r="B64" s="21"/>
      <c r="C64" s="17">
        <v>258.73</v>
      </c>
      <c r="D64" s="17">
        <v>273.72000000000003</v>
      </c>
      <c r="E64" s="17">
        <v>300.02</v>
      </c>
      <c r="F64" s="17">
        <v>295.08</v>
      </c>
      <c r="G64" s="17">
        <f>12/12*C64</f>
        <v>258.73</v>
      </c>
      <c r="H64" s="9"/>
      <c r="I64" s="10"/>
      <c r="J64" s="10"/>
    </row>
    <row r="65" spans="1:10" x14ac:dyDescent="0.25">
      <c r="A65" s="21" t="s">
        <v>77</v>
      </c>
      <c r="B65" s="21"/>
      <c r="C65" s="17">
        <v>116.3</v>
      </c>
      <c r="D65" s="17">
        <v>101.59</v>
      </c>
      <c r="E65" s="17">
        <v>120.96</v>
      </c>
      <c r="F65" s="17">
        <v>83.12</v>
      </c>
      <c r="G65" s="17">
        <f>12/12*C65</f>
        <v>116.3</v>
      </c>
      <c r="H65" s="9"/>
      <c r="I65" s="10"/>
      <c r="J65" s="10"/>
    </row>
    <row r="66" spans="1:10" x14ac:dyDescent="0.25">
      <c r="C66" s="9"/>
      <c r="D66" s="9"/>
      <c r="E66" s="9"/>
      <c r="F66" s="9"/>
      <c r="G66" s="9"/>
      <c r="H66" s="9"/>
      <c r="I66" s="10"/>
      <c r="J66" s="10"/>
    </row>
    <row r="67" spans="1:10" x14ac:dyDescent="0.25">
      <c r="C67" s="9"/>
      <c r="D67" s="9"/>
      <c r="E67" s="9"/>
      <c r="F67" s="9"/>
      <c r="G67" s="9"/>
      <c r="H67" s="9"/>
      <c r="I67" s="10"/>
      <c r="J67" s="10"/>
    </row>
    <row r="68" spans="1:10" x14ac:dyDescent="0.25">
      <c r="A68" s="22" t="s">
        <v>61</v>
      </c>
      <c r="B68" s="23"/>
      <c r="C68" s="9"/>
      <c r="D68" s="9"/>
      <c r="E68" s="9"/>
      <c r="F68" s="9"/>
      <c r="G68" s="9"/>
      <c r="H68" s="9"/>
      <c r="I68" s="10"/>
      <c r="J68" s="10"/>
    </row>
    <row r="69" spans="1:10" x14ac:dyDescent="0.25">
      <c r="A69" s="3" t="s">
        <v>78</v>
      </c>
      <c r="B69" s="1" t="s">
        <v>171</v>
      </c>
      <c r="C69" s="9"/>
      <c r="D69" s="9"/>
      <c r="E69" s="9"/>
      <c r="F69" s="9"/>
      <c r="G69" s="9"/>
      <c r="H69" s="9"/>
      <c r="I69" s="10"/>
      <c r="J69" s="10"/>
    </row>
    <row r="70" spans="1:10" x14ac:dyDescent="0.25">
      <c r="A70" s="3" t="s">
        <v>71</v>
      </c>
      <c r="B70" s="1" t="s">
        <v>80</v>
      </c>
      <c r="C70" s="9"/>
      <c r="D70" s="9"/>
      <c r="E70" s="9"/>
      <c r="F70" s="9"/>
      <c r="G70" s="9"/>
      <c r="H70" s="9"/>
      <c r="I70" s="10"/>
      <c r="J70" s="10"/>
    </row>
    <row r="71" spans="1:10" x14ac:dyDescent="0.25">
      <c r="A71" s="3" t="s">
        <v>72</v>
      </c>
      <c r="B71" s="1" t="s">
        <v>81</v>
      </c>
      <c r="C71" s="9"/>
      <c r="D71" s="9"/>
      <c r="E71" s="9"/>
      <c r="F71" s="9"/>
      <c r="G71" s="9"/>
      <c r="H71" s="9"/>
      <c r="I71" s="10"/>
      <c r="J71" s="10"/>
    </row>
    <row r="72" spans="1:10" x14ac:dyDescent="0.25">
      <c r="A72" s="3" t="s">
        <v>73</v>
      </c>
      <c r="B72" s="1" t="s">
        <v>82</v>
      </c>
      <c r="C72" s="9"/>
      <c r="D72" s="9"/>
      <c r="E72" s="9"/>
      <c r="F72" s="9"/>
      <c r="G72" s="9"/>
      <c r="H72" s="9"/>
      <c r="I72" s="10"/>
      <c r="J72" s="10"/>
    </row>
    <row r="73" spans="1:10" x14ac:dyDescent="0.25">
      <c r="C73" s="9"/>
      <c r="D73" s="9"/>
      <c r="E73" s="9"/>
      <c r="F73" s="9"/>
      <c r="G73" s="9"/>
      <c r="H73" s="9"/>
      <c r="I73" s="10"/>
      <c r="J73" s="10"/>
    </row>
    <row r="74" spans="1:10" x14ac:dyDescent="0.25">
      <c r="C74" s="9"/>
      <c r="D74" s="9"/>
      <c r="E74" s="9"/>
      <c r="F74" s="9"/>
      <c r="G74" s="9"/>
      <c r="H74" s="9"/>
      <c r="I74" s="10"/>
      <c r="J74" s="10"/>
    </row>
  </sheetData>
  <mergeCells count="19">
    <mergeCell ref="C7:G7"/>
    <mergeCell ref="A41:B41"/>
    <mergeCell ref="A42:B42"/>
    <mergeCell ref="A47:B47"/>
    <mergeCell ref="A48:B48"/>
    <mergeCell ref="J56:J57"/>
    <mergeCell ref="A57:B57"/>
    <mergeCell ref="A61:B61"/>
    <mergeCell ref="A62:B62"/>
    <mergeCell ref="A49:B49"/>
    <mergeCell ref="A50:B50"/>
    <mergeCell ref="A55:B55"/>
    <mergeCell ref="A56:B56"/>
    <mergeCell ref="H56:H57"/>
    <mergeCell ref="A63:B63"/>
    <mergeCell ref="A64:B64"/>
    <mergeCell ref="A65:B65"/>
    <mergeCell ref="A68:B68"/>
    <mergeCell ref="I56:I57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J74"/>
  <sheetViews>
    <sheetView workbookViewId="0">
      <selection activeCell="H5" sqref="H5"/>
    </sheetView>
  </sheetViews>
  <sheetFormatPr defaultRowHeight="15" x14ac:dyDescent="0.25"/>
  <cols>
    <col min="1" max="1" width="28.42578125" bestFit="1" customWidth="1"/>
    <col min="2" max="2" width="72" bestFit="1" customWidth="1"/>
    <col min="3" max="3" width="12.7109375" bestFit="1" customWidth="1"/>
    <col min="4" max="4" width="28.140625" bestFit="1" customWidth="1"/>
    <col min="5" max="5" width="13.85546875" bestFit="1" customWidth="1"/>
    <col min="6" max="6" width="8.5703125" bestFit="1" customWidth="1"/>
    <col min="7" max="7" width="47.7109375" bestFit="1" customWidth="1"/>
    <col min="8" max="9" width="16.7109375" bestFit="1" customWidth="1"/>
    <col min="10" max="10" width="24.42578125" bestFit="1" customWidth="1"/>
  </cols>
  <sheetData>
    <row r="2" spans="1:10" ht="18.75" x14ac:dyDescent="0.3">
      <c r="A2" s="3" t="s">
        <v>0</v>
      </c>
      <c r="B2" s="4" t="s">
        <v>172</v>
      </c>
    </row>
    <row r="3" spans="1:10" x14ac:dyDescent="0.25">
      <c r="A3" s="3" t="s">
        <v>2</v>
      </c>
      <c r="B3" s="1" t="s">
        <v>3</v>
      </c>
    </row>
    <row r="4" spans="1:10" x14ac:dyDescent="0.25">
      <c r="A4" s="3" t="s">
        <v>4</v>
      </c>
      <c r="B4" s="20">
        <v>501</v>
      </c>
    </row>
    <row r="7" spans="1:10" x14ac:dyDescent="0.25">
      <c r="C7" s="22" t="s">
        <v>5</v>
      </c>
      <c r="D7" s="21"/>
      <c r="E7" s="21"/>
      <c r="F7" s="21"/>
      <c r="G7" s="21"/>
    </row>
    <row r="8" spans="1:10" x14ac:dyDescent="0.25">
      <c r="A8" s="3" t="s">
        <v>6</v>
      </c>
      <c r="B8" s="3" t="s">
        <v>7</v>
      </c>
      <c r="C8" s="15" t="s">
        <v>8</v>
      </c>
      <c r="D8" s="15" t="s">
        <v>9</v>
      </c>
      <c r="E8" s="15" t="s">
        <v>10</v>
      </c>
      <c r="F8" s="15" t="s">
        <v>11</v>
      </c>
      <c r="G8" s="15" t="s">
        <v>12</v>
      </c>
      <c r="H8" s="15" t="s">
        <v>13</v>
      </c>
      <c r="I8" s="15" t="s">
        <v>14</v>
      </c>
      <c r="J8" s="15" t="s">
        <v>15</v>
      </c>
    </row>
    <row r="9" spans="1:10" x14ac:dyDescent="0.25">
      <c r="A9" s="1" t="s">
        <v>16</v>
      </c>
      <c r="B9" s="1" t="s">
        <v>17</v>
      </c>
      <c r="C9" s="11"/>
      <c r="D9" s="11"/>
      <c r="E9" s="11">
        <v>21</v>
      </c>
      <c r="F9" s="11"/>
      <c r="G9" s="11">
        <f t="shared" ref="G9:G42" si="0">SUM(C9:F9)</f>
        <v>21</v>
      </c>
      <c r="H9" s="17">
        <f t="shared" ref="H9:H42" si="1">ROUND(G9/501,2)</f>
        <v>0.04</v>
      </c>
      <c r="I9" s="16">
        <f t="shared" ref="I9:I42" si="2">ROUND(G9/$G$43,3)</f>
        <v>0</v>
      </c>
      <c r="J9" s="16">
        <f>ROUND(G9/11-1,2)</f>
        <v>0.91</v>
      </c>
    </row>
    <row r="10" spans="1:10" x14ac:dyDescent="0.25">
      <c r="A10" s="1" t="s">
        <v>16</v>
      </c>
      <c r="B10" s="1" t="s">
        <v>19</v>
      </c>
      <c r="C10" s="11">
        <v>23490</v>
      </c>
      <c r="D10" s="11"/>
      <c r="E10" s="11">
        <v>2711</v>
      </c>
      <c r="F10" s="11"/>
      <c r="G10" s="11">
        <f t="shared" si="0"/>
        <v>26201</v>
      </c>
      <c r="H10" s="17">
        <f t="shared" si="1"/>
        <v>52.3</v>
      </c>
      <c r="I10" s="16">
        <f t="shared" si="2"/>
        <v>9.0999999999999998E-2</v>
      </c>
      <c r="J10" s="16">
        <f>ROUND(G10/26083-1,2)</f>
        <v>0</v>
      </c>
    </row>
    <row r="11" spans="1:10" x14ac:dyDescent="0.25">
      <c r="A11" s="1" t="s">
        <v>16</v>
      </c>
      <c r="B11" s="1" t="s">
        <v>20</v>
      </c>
      <c r="C11" s="11">
        <v>38730</v>
      </c>
      <c r="D11" s="11"/>
      <c r="E11" s="11"/>
      <c r="F11" s="11"/>
      <c r="G11" s="11">
        <f t="shared" si="0"/>
        <v>38730</v>
      </c>
      <c r="H11" s="17">
        <f t="shared" si="1"/>
        <v>77.31</v>
      </c>
      <c r="I11" s="16">
        <f t="shared" si="2"/>
        <v>0.13400000000000001</v>
      </c>
      <c r="J11" s="16">
        <f>ROUND(G11/41740-1,2)</f>
        <v>-7.0000000000000007E-2</v>
      </c>
    </row>
    <row r="12" spans="1:10" x14ac:dyDescent="0.25">
      <c r="A12" s="1" t="s">
        <v>16</v>
      </c>
      <c r="B12" s="1" t="s">
        <v>21</v>
      </c>
      <c r="C12" s="11"/>
      <c r="D12" s="11"/>
      <c r="E12" s="11">
        <v>63</v>
      </c>
      <c r="F12" s="11"/>
      <c r="G12" s="11">
        <f t="shared" si="0"/>
        <v>63</v>
      </c>
      <c r="H12" s="17">
        <f t="shared" si="1"/>
        <v>0.13</v>
      </c>
      <c r="I12" s="16">
        <f t="shared" si="2"/>
        <v>0</v>
      </c>
      <c r="J12" s="16">
        <f>ROUND(G12/53-1,2)</f>
        <v>0.19</v>
      </c>
    </row>
    <row r="13" spans="1:10" x14ac:dyDescent="0.25">
      <c r="A13" s="1" t="s">
        <v>16</v>
      </c>
      <c r="B13" s="1" t="s">
        <v>22</v>
      </c>
      <c r="C13" s="11"/>
      <c r="D13" s="11"/>
      <c r="E13" s="11">
        <v>416</v>
      </c>
      <c r="F13" s="11"/>
      <c r="G13" s="11">
        <f t="shared" si="0"/>
        <v>416</v>
      </c>
      <c r="H13" s="17">
        <f t="shared" si="1"/>
        <v>0.83</v>
      </c>
      <c r="I13" s="16">
        <f t="shared" si="2"/>
        <v>1E-3</v>
      </c>
      <c r="J13" s="16">
        <f>ROUND(G13/2012-1,2)</f>
        <v>-0.79</v>
      </c>
    </row>
    <row r="14" spans="1:10" x14ac:dyDescent="0.25">
      <c r="A14" s="1" t="s">
        <v>16</v>
      </c>
      <c r="B14" s="1" t="s">
        <v>23</v>
      </c>
      <c r="C14" s="11"/>
      <c r="D14" s="11"/>
      <c r="E14" s="11">
        <v>39289</v>
      </c>
      <c r="F14" s="11"/>
      <c r="G14" s="11">
        <f t="shared" si="0"/>
        <v>39289</v>
      </c>
      <c r="H14" s="17">
        <f t="shared" si="1"/>
        <v>78.42</v>
      </c>
      <c r="I14" s="16">
        <f t="shared" si="2"/>
        <v>0.13600000000000001</v>
      </c>
      <c r="J14" s="16">
        <f>ROUND(G14/29873-1,2)</f>
        <v>0.32</v>
      </c>
    </row>
    <row r="15" spans="1:10" x14ac:dyDescent="0.25">
      <c r="A15" s="1" t="s">
        <v>16</v>
      </c>
      <c r="B15" s="1" t="s">
        <v>24</v>
      </c>
      <c r="C15" s="11">
        <v>27610</v>
      </c>
      <c r="D15" s="11"/>
      <c r="E15" s="11">
        <v>5214</v>
      </c>
      <c r="F15" s="11"/>
      <c r="G15" s="11">
        <f t="shared" si="0"/>
        <v>32824</v>
      </c>
      <c r="H15" s="17">
        <f t="shared" si="1"/>
        <v>65.52</v>
      </c>
      <c r="I15" s="16">
        <f t="shared" si="2"/>
        <v>0.114</v>
      </c>
      <c r="J15" s="16">
        <f>ROUND(G15/36028-1,2)</f>
        <v>-0.09</v>
      </c>
    </row>
    <row r="16" spans="1:10" x14ac:dyDescent="0.25">
      <c r="A16" s="1" t="s">
        <v>16</v>
      </c>
      <c r="B16" s="1" t="s">
        <v>25</v>
      </c>
      <c r="C16" s="11"/>
      <c r="D16" s="11"/>
      <c r="E16" s="11">
        <v>1219</v>
      </c>
      <c r="F16" s="11"/>
      <c r="G16" s="11">
        <f t="shared" si="0"/>
        <v>1219</v>
      </c>
      <c r="H16" s="17">
        <f t="shared" si="1"/>
        <v>2.4300000000000002</v>
      </c>
      <c r="I16" s="16">
        <f t="shared" si="2"/>
        <v>4.0000000000000001E-3</v>
      </c>
      <c r="J16" s="16">
        <f>ROUND(G16/901-1,2)</f>
        <v>0.35</v>
      </c>
    </row>
    <row r="17" spans="1:10" x14ac:dyDescent="0.25">
      <c r="A17" s="1" t="s">
        <v>16</v>
      </c>
      <c r="B17" s="1" t="s">
        <v>26</v>
      </c>
      <c r="C17" s="11">
        <v>36190</v>
      </c>
      <c r="D17" s="11"/>
      <c r="E17" s="11"/>
      <c r="F17" s="11"/>
      <c r="G17" s="11">
        <f t="shared" si="0"/>
        <v>36190</v>
      </c>
      <c r="H17" s="17">
        <f t="shared" si="1"/>
        <v>72.239999999999995</v>
      </c>
      <c r="I17" s="16">
        <f t="shared" si="2"/>
        <v>0.125</v>
      </c>
      <c r="J17" s="16">
        <f>ROUND(G17/36340-1,2)</f>
        <v>0</v>
      </c>
    </row>
    <row r="18" spans="1:10" x14ac:dyDescent="0.25">
      <c r="A18" s="1" t="s">
        <v>16</v>
      </c>
      <c r="B18" s="1" t="s">
        <v>27</v>
      </c>
      <c r="C18" s="11"/>
      <c r="D18" s="11"/>
      <c r="E18" s="11">
        <v>282</v>
      </c>
      <c r="F18" s="11"/>
      <c r="G18" s="11">
        <f t="shared" si="0"/>
        <v>282</v>
      </c>
      <c r="H18" s="17">
        <f t="shared" si="1"/>
        <v>0.56000000000000005</v>
      </c>
      <c r="I18" s="16">
        <f t="shared" si="2"/>
        <v>1E-3</v>
      </c>
      <c r="J18" s="16">
        <f>ROUND(G18/290-1,2)</f>
        <v>-0.03</v>
      </c>
    </row>
    <row r="19" spans="1:10" x14ac:dyDescent="0.25">
      <c r="A19" s="1" t="s">
        <v>16</v>
      </c>
      <c r="B19" s="1" t="s">
        <v>28</v>
      </c>
      <c r="C19" s="11"/>
      <c r="D19" s="11"/>
      <c r="E19" s="11">
        <v>121</v>
      </c>
      <c r="F19" s="11"/>
      <c r="G19" s="11">
        <f t="shared" si="0"/>
        <v>121</v>
      </c>
      <c r="H19" s="17">
        <f t="shared" si="1"/>
        <v>0.24</v>
      </c>
      <c r="I19" s="16">
        <f t="shared" si="2"/>
        <v>0</v>
      </c>
      <c r="J19" s="16">
        <f>ROUND(G19/155-1,2)</f>
        <v>-0.22</v>
      </c>
    </row>
    <row r="20" spans="1:10" x14ac:dyDescent="0.25">
      <c r="A20" s="1" t="s">
        <v>16</v>
      </c>
      <c r="B20" s="1" t="s">
        <v>29</v>
      </c>
      <c r="C20" s="11"/>
      <c r="D20" s="11"/>
      <c r="E20" s="11">
        <v>28</v>
      </c>
      <c r="F20" s="11"/>
      <c r="G20" s="11">
        <f t="shared" si="0"/>
        <v>28</v>
      </c>
      <c r="H20" s="17">
        <f t="shared" si="1"/>
        <v>0.06</v>
      </c>
      <c r="I20" s="16">
        <f t="shared" si="2"/>
        <v>0</v>
      </c>
      <c r="J20" s="16"/>
    </row>
    <row r="21" spans="1:10" x14ac:dyDescent="0.25">
      <c r="A21" s="1" t="s">
        <v>16</v>
      </c>
      <c r="B21" s="1" t="s">
        <v>30</v>
      </c>
      <c r="C21" s="11"/>
      <c r="D21" s="11"/>
      <c r="E21" s="11">
        <v>1031</v>
      </c>
      <c r="F21" s="11"/>
      <c r="G21" s="11">
        <f t="shared" si="0"/>
        <v>1031</v>
      </c>
      <c r="H21" s="17">
        <f t="shared" si="1"/>
        <v>2.06</v>
      </c>
      <c r="I21" s="16">
        <f t="shared" si="2"/>
        <v>4.0000000000000001E-3</v>
      </c>
      <c r="J21" s="16">
        <f>ROUND(G21/1388-1,2)</f>
        <v>-0.26</v>
      </c>
    </row>
    <row r="22" spans="1:10" x14ac:dyDescent="0.25">
      <c r="A22" s="1" t="s">
        <v>16</v>
      </c>
      <c r="B22" s="1" t="s">
        <v>31</v>
      </c>
      <c r="C22" s="11"/>
      <c r="D22" s="11"/>
      <c r="E22" s="11">
        <v>108</v>
      </c>
      <c r="F22" s="11">
        <v>250</v>
      </c>
      <c r="G22" s="11">
        <f t="shared" si="0"/>
        <v>358</v>
      </c>
      <c r="H22" s="17">
        <f t="shared" si="1"/>
        <v>0.71</v>
      </c>
      <c r="I22" s="16">
        <f t="shared" si="2"/>
        <v>1E-3</v>
      </c>
      <c r="J22" s="16">
        <f>ROUND(G22/254-1,2)</f>
        <v>0.41</v>
      </c>
    </row>
    <row r="23" spans="1:10" x14ac:dyDescent="0.25">
      <c r="A23" s="1" t="s">
        <v>16</v>
      </c>
      <c r="B23" s="1" t="s">
        <v>33</v>
      </c>
      <c r="C23" s="11"/>
      <c r="D23" s="11"/>
      <c r="E23" s="11">
        <v>442</v>
      </c>
      <c r="F23" s="11"/>
      <c r="G23" s="11">
        <f t="shared" si="0"/>
        <v>442</v>
      </c>
      <c r="H23" s="17">
        <f t="shared" si="1"/>
        <v>0.88</v>
      </c>
      <c r="I23" s="16">
        <f t="shared" si="2"/>
        <v>2E-3</v>
      </c>
      <c r="J23" s="16">
        <f>ROUND(G23/548-1,2)</f>
        <v>-0.19</v>
      </c>
    </row>
    <row r="24" spans="1:10" x14ac:dyDescent="0.25">
      <c r="A24" s="1" t="s">
        <v>16</v>
      </c>
      <c r="B24" s="1" t="s">
        <v>34</v>
      </c>
      <c r="C24" s="11"/>
      <c r="D24" s="11"/>
      <c r="E24" s="11">
        <v>28</v>
      </c>
      <c r="F24" s="11"/>
      <c r="G24" s="11">
        <f t="shared" si="0"/>
        <v>28</v>
      </c>
      <c r="H24" s="17">
        <f t="shared" si="1"/>
        <v>0.06</v>
      </c>
      <c r="I24" s="16">
        <f t="shared" si="2"/>
        <v>0</v>
      </c>
      <c r="J24" s="16">
        <f>ROUND(G24/67-1,2)</f>
        <v>-0.57999999999999996</v>
      </c>
    </row>
    <row r="25" spans="1:10" x14ac:dyDescent="0.25">
      <c r="A25" s="1" t="s">
        <v>16</v>
      </c>
      <c r="B25" s="1" t="s">
        <v>35</v>
      </c>
      <c r="C25" s="11"/>
      <c r="D25" s="11"/>
      <c r="E25" s="11">
        <v>512</v>
      </c>
      <c r="F25" s="11"/>
      <c r="G25" s="11">
        <f t="shared" si="0"/>
        <v>512</v>
      </c>
      <c r="H25" s="17">
        <f t="shared" si="1"/>
        <v>1.02</v>
      </c>
      <c r="I25" s="16">
        <f t="shared" si="2"/>
        <v>2E-3</v>
      </c>
      <c r="J25" s="16">
        <f>ROUND(G25/473-1,2)</f>
        <v>0.08</v>
      </c>
    </row>
    <row r="26" spans="1:10" x14ac:dyDescent="0.25">
      <c r="A26" s="1" t="s">
        <v>16</v>
      </c>
      <c r="B26" s="1" t="s">
        <v>37</v>
      </c>
      <c r="C26" s="11"/>
      <c r="D26" s="11"/>
      <c r="E26" s="11">
        <v>565</v>
      </c>
      <c r="F26" s="11"/>
      <c r="G26" s="11">
        <f t="shared" si="0"/>
        <v>565</v>
      </c>
      <c r="H26" s="17">
        <f t="shared" si="1"/>
        <v>1.1299999999999999</v>
      </c>
      <c r="I26" s="16">
        <f t="shared" si="2"/>
        <v>2E-3</v>
      </c>
      <c r="J26" s="16">
        <f>ROUND(G26/554-1,2)</f>
        <v>0.02</v>
      </c>
    </row>
    <row r="27" spans="1:10" x14ac:dyDescent="0.25">
      <c r="A27" s="1" t="s">
        <v>16</v>
      </c>
      <c r="B27" s="1" t="s">
        <v>39</v>
      </c>
      <c r="C27" s="11"/>
      <c r="D27" s="11"/>
      <c r="E27" s="11">
        <v>1818</v>
      </c>
      <c r="F27" s="11"/>
      <c r="G27" s="11">
        <f t="shared" si="0"/>
        <v>1818</v>
      </c>
      <c r="H27" s="17">
        <f t="shared" si="1"/>
        <v>3.63</v>
      </c>
      <c r="I27" s="16">
        <f t="shared" si="2"/>
        <v>6.0000000000000001E-3</v>
      </c>
      <c r="J27" s="16">
        <f>ROUND(G27/1616-1,2)</f>
        <v>0.13</v>
      </c>
    </row>
    <row r="28" spans="1:10" x14ac:dyDescent="0.25">
      <c r="A28" s="1" t="s">
        <v>16</v>
      </c>
      <c r="B28" s="1" t="s">
        <v>38</v>
      </c>
      <c r="C28" s="11"/>
      <c r="D28" s="11"/>
      <c r="E28" s="11">
        <v>2540</v>
      </c>
      <c r="F28" s="11"/>
      <c r="G28" s="11">
        <f t="shared" si="0"/>
        <v>2540</v>
      </c>
      <c r="H28" s="17">
        <f t="shared" si="1"/>
        <v>5.07</v>
      </c>
      <c r="I28" s="16">
        <f t="shared" si="2"/>
        <v>8.9999999999999993E-3</v>
      </c>
      <c r="J28" s="16">
        <f>ROUND(G28/1838-1,2)</f>
        <v>0.38</v>
      </c>
    </row>
    <row r="29" spans="1:10" x14ac:dyDescent="0.25">
      <c r="A29" s="1" t="s">
        <v>16</v>
      </c>
      <c r="B29" s="1" t="s">
        <v>40</v>
      </c>
      <c r="C29" s="11"/>
      <c r="D29" s="11"/>
      <c r="E29" s="11">
        <v>21329</v>
      </c>
      <c r="F29" s="11"/>
      <c r="G29" s="11">
        <f t="shared" si="0"/>
        <v>21329</v>
      </c>
      <c r="H29" s="17">
        <f t="shared" si="1"/>
        <v>42.57</v>
      </c>
      <c r="I29" s="16">
        <f t="shared" si="2"/>
        <v>7.3999999999999996E-2</v>
      </c>
      <c r="J29" s="16">
        <f>ROUND(G29/18026-1,2)</f>
        <v>0.18</v>
      </c>
    </row>
    <row r="30" spans="1:10" x14ac:dyDescent="0.25">
      <c r="A30" s="1" t="s">
        <v>16</v>
      </c>
      <c r="B30" s="1" t="s">
        <v>42</v>
      </c>
      <c r="C30" s="11"/>
      <c r="D30" s="11"/>
      <c r="E30" s="11">
        <v>6596</v>
      </c>
      <c r="F30" s="11"/>
      <c r="G30" s="11">
        <f t="shared" si="0"/>
        <v>6596</v>
      </c>
      <c r="H30" s="17">
        <f t="shared" si="1"/>
        <v>13.17</v>
      </c>
      <c r="I30" s="16">
        <f t="shared" si="2"/>
        <v>2.3E-2</v>
      </c>
      <c r="J30" s="16">
        <f>ROUND(G30/6649-1,2)</f>
        <v>-0.01</v>
      </c>
    </row>
    <row r="31" spans="1:10" x14ac:dyDescent="0.25">
      <c r="A31" s="1" t="s">
        <v>16</v>
      </c>
      <c r="B31" s="1" t="s">
        <v>44</v>
      </c>
      <c r="C31" s="11"/>
      <c r="D31" s="11"/>
      <c r="E31" s="11">
        <v>2529</v>
      </c>
      <c r="F31" s="11"/>
      <c r="G31" s="11">
        <f t="shared" si="0"/>
        <v>2529</v>
      </c>
      <c r="H31" s="17">
        <f t="shared" si="1"/>
        <v>5.05</v>
      </c>
      <c r="I31" s="16">
        <f t="shared" si="2"/>
        <v>8.9999999999999993E-3</v>
      </c>
      <c r="J31" s="16">
        <f>ROUND(G31/2408-1,2)</f>
        <v>0.05</v>
      </c>
    </row>
    <row r="32" spans="1:10" x14ac:dyDescent="0.25">
      <c r="A32" s="1" t="s">
        <v>16</v>
      </c>
      <c r="B32" s="1" t="s">
        <v>32</v>
      </c>
      <c r="C32" s="11"/>
      <c r="D32" s="11"/>
      <c r="E32" s="11"/>
      <c r="F32" s="11"/>
      <c r="G32" s="11">
        <f t="shared" si="0"/>
        <v>0</v>
      </c>
      <c r="H32" s="17">
        <f t="shared" si="1"/>
        <v>0</v>
      </c>
      <c r="I32" s="16">
        <f t="shared" si="2"/>
        <v>0</v>
      </c>
      <c r="J32" s="16">
        <f>ROUND(G32/175-1,2)</f>
        <v>-1</v>
      </c>
    </row>
    <row r="33" spans="1:10" x14ac:dyDescent="0.25">
      <c r="A33" s="1" t="s">
        <v>16</v>
      </c>
      <c r="B33" s="1" t="s">
        <v>173</v>
      </c>
      <c r="C33" s="11"/>
      <c r="D33" s="11"/>
      <c r="E33" s="11"/>
      <c r="F33" s="11"/>
      <c r="G33" s="11">
        <f t="shared" si="0"/>
        <v>0</v>
      </c>
      <c r="H33" s="17">
        <f t="shared" si="1"/>
        <v>0</v>
      </c>
      <c r="I33" s="16">
        <f t="shared" si="2"/>
        <v>0</v>
      </c>
      <c r="J33" s="16"/>
    </row>
    <row r="34" spans="1:10" x14ac:dyDescent="0.25">
      <c r="A34" s="1" t="s">
        <v>16</v>
      </c>
      <c r="B34" s="1" t="s">
        <v>174</v>
      </c>
      <c r="C34" s="11"/>
      <c r="D34" s="11"/>
      <c r="E34" s="11"/>
      <c r="F34" s="11"/>
      <c r="G34" s="11">
        <f t="shared" si="0"/>
        <v>0</v>
      </c>
      <c r="H34" s="17">
        <f t="shared" si="1"/>
        <v>0</v>
      </c>
      <c r="I34" s="16">
        <f t="shared" si="2"/>
        <v>0</v>
      </c>
      <c r="J34" s="16"/>
    </row>
    <row r="35" spans="1:10" x14ac:dyDescent="0.25">
      <c r="A35" s="1" t="s">
        <v>16</v>
      </c>
      <c r="B35" s="1" t="s">
        <v>36</v>
      </c>
      <c r="C35" s="11"/>
      <c r="D35" s="11"/>
      <c r="E35" s="11"/>
      <c r="F35" s="11"/>
      <c r="G35" s="11">
        <f t="shared" si="0"/>
        <v>0</v>
      </c>
      <c r="H35" s="17">
        <f t="shared" si="1"/>
        <v>0</v>
      </c>
      <c r="I35" s="16">
        <f t="shared" si="2"/>
        <v>0</v>
      </c>
      <c r="J35" s="16">
        <f>ROUND(G35/73-1,2)</f>
        <v>-1</v>
      </c>
    </row>
    <row r="36" spans="1:10" x14ac:dyDescent="0.25">
      <c r="A36" s="1" t="s">
        <v>16</v>
      </c>
      <c r="B36" s="1" t="s">
        <v>121</v>
      </c>
      <c r="C36" s="11"/>
      <c r="D36" s="11"/>
      <c r="E36" s="11"/>
      <c r="F36" s="11"/>
      <c r="G36" s="11">
        <f t="shared" si="0"/>
        <v>0</v>
      </c>
      <c r="H36" s="17">
        <f t="shared" si="1"/>
        <v>0</v>
      </c>
      <c r="I36" s="16">
        <f t="shared" si="2"/>
        <v>0</v>
      </c>
      <c r="J36" s="16"/>
    </row>
    <row r="37" spans="1:10" x14ac:dyDescent="0.25">
      <c r="A37" s="1" t="s">
        <v>16</v>
      </c>
      <c r="B37" s="1" t="s">
        <v>175</v>
      </c>
      <c r="C37" s="11"/>
      <c r="D37" s="11"/>
      <c r="E37" s="11"/>
      <c r="F37" s="11"/>
      <c r="G37" s="11">
        <f t="shared" si="0"/>
        <v>0</v>
      </c>
      <c r="H37" s="17">
        <f t="shared" si="1"/>
        <v>0</v>
      </c>
      <c r="I37" s="16">
        <f t="shared" si="2"/>
        <v>0</v>
      </c>
      <c r="J37" s="16"/>
    </row>
    <row r="38" spans="1:10" x14ac:dyDescent="0.25">
      <c r="A38" s="1" t="s">
        <v>16</v>
      </c>
      <c r="B38" s="1" t="s">
        <v>41</v>
      </c>
      <c r="C38" s="11"/>
      <c r="D38" s="11"/>
      <c r="E38" s="11"/>
      <c r="F38" s="11"/>
      <c r="G38" s="11">
        <f t="shared" si="0"/>
        <v>0</v>
      </c>
      <c r="H38" s="17">
        <f t="shared" si="1"/>
        <v>0</v>
      </c>
      <c r="I38" s="16">
        <f t="shared" si="2"/>
        <v>0</v>
      </c>
      <c r="J38" s="16"/>
    </row>
    <row r="39" spans="1:10" x14ac:dyDescent="0.25">
      <c r="A39" s="1" t="s">
        <v>45</v>
      </c>
      <c r="B39" s="1" t="s">
        <v>46</v>
      </c>
      <c r="C39" s="11">
        <v>65610</v>
      </c>
      <c r="D39" s="11"/>
      <c r="E39" s="11"/>
      <c r="F39" s="11">
        <v>300</v>
      </c>
      <c r="G39" s="11">
        <f t="shared" si="0"/>
        <v>65910</v>
      </c>
      <c r="H39" s="17">
        <f t="shared" si="1"/>
        <v>131.56</v>
      </c>
      <c r="I39" s="16">
        <f t="shared" si="2"/>
        <v>0.22800000000000001</v>
      </c>
      <c r="J39" s="16">
        <f>ROUND(G39/63280-1,2)</f>
        <v>0.04</v>
      </c>
    </row>
    <row r="40" spans="1:10" x14ac:dyDescent="0.25">
      <c r="A40" s="1" t="s">
        <v>45</v>
      </c>
      <c r="B40" s="1" t="s">
        <v>47</v>
      </c>
      <c r="C40" s="11"/>
      <c r="D40" s="11"/>
      <c r="E40" s="11">
        <v>9612</v>
      </c>
      <c r="F40" s="11"/>
      <c r="G40" s="11">
        <f t="shared" si="0"/>
        <v>9612</v>
      </c>
      <c r="H40" s="17">
        <f t="shared" si="1"/>
        <v>19.190000000000001</v>
      </c>
      <c r="I40" s="16">
        <f t="shared" si="2"/>
        <v>3.3000000000000002E-2</v>
      </c>
      <c r="J40" s="16">
        <f>ROUND(G40/9888-1,2)</f>
        <v>-0.03</v>
      </c>
    </row>
    <row r="41" spans="1:10" x14ac:dyDescent="0.25">
      <c r="A41" s="1" t="s">
        <v>45</v>
      </c>
      <c r="B41" s="1" t="s">
        <v>48</v>
      </c>
      <c r="C41" s="11"/>
      <c r="D41" s="11"/>
      <c r="E41" s="11"/>
      <c r="F41" s="11"/>
      <c r="G41" s="11">
        <f t="shared" si="0"/>
        <v>0</v>
      </c>
      <c r="H41" s="17">
        <f t="shared" si="1"/>
        <v>0</v>
      </c>
      <c r="I41" s="16">
        <f t="shared" si="2"/>
        <v>0</v>
      </c>
      <c r="J41" s="16"/>
    </row>
    <row r="42" spans="1:10" x14ac:dyDescent="0.25">
      <c r="A42" s="1" t="s">
        <v>49</v>
      </c>
      <c r="B42" s="1" t="s">
        <v>52</v>
      </c>
      <c r="C42" s="11"/>
      <c r="D42" s="11"/>
      <c r="E42" s="11"/>
      <c r="F42" s="11"/>
      <c r="G42" s="11">
        <f t="shared" si="0"/>
        <v>0</v>
      </c>
      <c r="H42" s="17">
        <f t="shared" si="1"/>
        <v>0</v>
      </c>
      <c r="I42" s="16">
        <f t="shared" si="2"/>
        <v>0</v>
      </c>
      <c r="J42" s="16"/>
    </row>
    <row r="43" spans="1:10" x14ac:dyDescent="0.25">
      <c r="A43" s="26" t="s">
        <v>12</v>
      </c>
      <c r="B43" s="26"/>
      <c r="C43" s="12">
        <f t="shared" ref="C43:H43" si="3">SUM(C8:C42)</f>
        <v>191630</v>
      </c>
      <c r="D43" s="12">
        <f t="shared" si="3"/>
        <v>0</v>
      </c>
      <c r="E43" s="12">
        <f t="shared" si="3"/>
        <v>96474</v>
      </c>
      <c r="F43" s="12">
        <f t="shared" si="3"/>
        <v>550</v>
      </c>
      <c r="G43" s="12">
        <f t="shared" si="3"/>
        <v>288654</v>
      </c>
      <c r="H43" s="15">
        <f t="shared" si="3"/>
        <v>576.18000000000006</v>
      </c>
      <c r="I43" s="18"/>
      <c r="J43" s="18"/>
    </row>
    <row r="44" spans="1:10" x14ac:dyDescent="0.25">
      <c r="A44" s="26" t="s">
        <v>14</v>
      </c>
      <c r="B44" s="26"/>
      <c r="C44" s="13">
        <f>ROUND(C43/G43,2)</f>
        <v>0.66</v>
      </c>
      <c r="D44" s="13">
        <f>ROUND(D43/G43,2)</f>
        <v>0</v>
      </c>
      <c r="E44" s="13">
        <f>ROUND(E43/G43,2)</f>
        <v>0.33</v>
      </c>
      <c r="F44" s="13">
        <f>ROUND(F43/G43,2)</f>
        <v>0</v>
      </c>
      <c r="G44" s="14"/>
      <c r="H44" s="14"/>
      <c r="I44" s="18"/>
      <c r="J44" s="18"/>
    </row>
    <row r="45" spans="1:10" x14ac:dyDescent="0.25">
      <c r="A45" s="2" t="s">
        <v>53</v>
      </c>
      <c r="B45" s="2"/>
      <c r="C45" s="14"/>
      <c r="D45" s="14"/>
      <c r="E45" s="14"/>
      <c r="F45" s="14"/>
      <c r="G45" s="14"/>
      <c r="H45" s="14"/>
      <c r="I45" s="18"/>
      <c r="J45" s="18"/>
    </row>
    <row r="46" spans="1:10" x14ac:dyDescent="0.25">
      <c r="C46" s="9"/>
      <c r="D46" s="9"/>
      <c r="E46" s="9"/>
      <c r="F46" s="9"/>
      <c r="G46" s="9"/>
      <c r="H46" s="9"/>
      <c r="I46" s="10"/>
      <c r="J46" s="10"/>
    </row>
    <row r="47" spans="1:10" x14ac:dyDescent="0.25">
      <c r="C47" s="9"/>
      <c r="D47" s="9"/>
      <c r="E47" s="9"/>
      <c r="F47" s="9"/>
      <c r="G47" s="9"/>
      <c r="H47" s="9"/>
      <c r="I47" s="10"/>
      <c r="J47" s="10"/>
    </row>
    <row r="48" spans="1:10" x14ac:dyDescent="0.25">
      <c r="C48" s="9"/>
      <c r="D48" s="9"/>
      <c r="E48" s="9"/>
      <c r="F48" s="9"/>
      <c r="G48" s="9"/>
      <c r="H48" s="9"/>
      <c r="I48" s="10"/>
      <c r="J48" s="10"/>
    </row>
    <row r="49" spans="1:10" x14ac:dyDescent="0.25">
      <c r="A49" s="26" t="s">
        <v>54</v>
      </c>
      <c r="B49" s="26"/>
      <c r="C49" s="12" t="s">
        <v>8</v>
      </c>
      <c r="D49" s="12" t="s">
        <v>9</v>
      </c>
      <c r="E49" s="12" t="s">
        <v>10</v>
      </c>
      <c r="F49" s="12" t="s">
        <v>11</v>
      </c>
      <c r="G49" s="12" t="s">
        <v>12</v>
      </c>
      <c r="H49" s="15" t="s">
        <v>13</v>
      </c>
      <c r="I49" s="18"/>
      <c r="J49" s="18"/>
    </row>
    <row r="50" spans="1:10" x14ac:dyDescent="0.25">
      <c r="A50" s="21" t="s">
        <v>55</v>
      </c>
      <c r="B50" s="21"/>
      <c r="C50" s="11">
        <v>126020</v>
      </c>
      <c r="D50" s="11">
        <v>0</v>
      </c>
      <c r="E50" s="11">
        <v>86862</v>
      </c>
      <c r="F50" s="11">
        <v>250</v>
      </c>
      <c r="G50" s="11">
        <f>SUM(C50:F50)</f>
        <v>213132</v>
      </c>
      <c r="H50" s="17">
        <f>ROUND(G50/501,2)</f>
        <v>425.41</v>
      </c>
      <c r="I50" s="10"/>
      <c r="J50" s="10"/>
    </row>
    <row r="51" spans="1:10" x14ac:dyDescent="0.25">
      <c r="A51" s="21" t="s">
        <v>56</v>
      </c>
      <c r="B51" s="21"/>
      <c r="C51" s="11">
        <v>65610</v>
      </c>
      <c r="D51" s="11">
        <v>0</v>
      </c>
      <c r="E51" s="11">
        <v>9612</v>
      </c>
      <c r="F51" s="11">
        <v>300</v>
      </c>
      <c r="G51" s="11">
        <f>SUM(C51:F51)</f>
        <v>75522</v>
      </c>
      <c r="H51" s="17">
        <f>ROUND(G51/501,2)</f>
        <v>150.74</v>
      </c>
      <c r="I51" s="10"/>
      <c r="J51" s="10"/>
    </row>
    <row r="52" spans="1:10" x14ac:dyDescent="0.25">
      <c r="A52" s="21" t="s">
        <v>57</v>
      </c>
      <c r="B52" s="21"/>
      <c r="C52" s="11">
        <v>0</v>
      </c>
      <c r="D52" s="11">
        <v>0</v>
      </c>
      <c r="E52" s="11">
        <v>0</v>
      </c>
      <c r="F52" s="11">
        <v>0</v>
      </c>
      <c r="G52" s="11">
        <f>SUM(C52:F52)</f>
        <v>0</v>
      </c>
      <c r="H52" s="17">
        <f>ROUND(G52/501,2)</f>
        <v>0</v>
      </c>
      <c r="I52" s="10"/>
      <c r="J52" s="10"/>
    </row>
    <row r="53" spans="1:10" x14ac:dyDescent="0.25">
      <c r="C53" s="9"/>
      <c r="D53" s="9"/>
      <c r="E53" s="9"/>
      <c r="F53" s="9"/>
      <c r="G53" s="9"/>
      <c r="H53" s="9"/>
      <c r="I53" s="10"/>
      <c r="J53" s="10"/>
    </row>
    <row r="54" spans="1:10" x14ac:dyDescent="0.25">
      <c r="C54" s="9"/>
      <c r="D54" s="9"/>
      <c r="E54" s="9"/>
      <c r="F54" s="9"/>
      <c r="G54" s="9"/>
      <c r="H54" s="9"/>
      <c r="I54" s="10"/>
      <c r="J54" s="10"/>
    </row>
    <row r="55" spans="1:10" x14ac:dyDescent="0.25">
      <c r="C55" s="9"/>
      <c r="D55" s="9"/>
      <c r="E55" s="9"/>
      <c r="F55" s="9"/>
      <c r="G55" s="9"/>
      <c r="H55" s="9"/>
      <c r="I55" s="10"/>
      <c r="J55" s="10"/>
    </row>
    <row r="56" spans="1:10" x14ac:dyDescent="0.25">
      <c r="C56" s="9"/>
      <c r="D56" s="9"/>
      <c r="E56" s="9"/>
      <c r="F56" s="9"/>
      <c r="G56" s="9"/>
      <c r="H56" s="9"/>
      <c r="I56" s="10"/>
      <c r="J56" s="10"/>
    </row>
    <row r="57" spans="1:10" x14ac:dyDescent="0.25">
      <c r="A57" s="26" t="s">
        <v>58</v>
      </c>
      <c r="B57" s="26"/>
      <c r="C57" s="15" t="s">
        <v>2</v>
      </c>
      <c r="D57" s="15">
        <v>2024</v>
      </c>
      <c r="E57" s="15" t="s">
        <v>60</v>
      </c>
      <c r="F57" s="14"/>
      <c r="G57" s="15" t="s">
        <v>61</v>
      </c>
      <c r="H57" s="15" t="s">
        <v>2</v>
      </c>
      <c r="I57" s="13" t="s">
        <v>62</v>
      </c>
      <c r="J57" s="13" t="s">
        <v>60</v>
      </c>
    </row>
    <row r="58" spans="1:10" x14ac:dyDescent="0.25">
      <c r="A58" s="21" t="s">
        <v>59</v>
      </c>
      <c r="B58" s="21"/>
      <c r="C58" s="16">
        <f>ROUND(0.7353, 4)</f>
        <v>0.73529999999999995</v>
      </c>
      <c r="D58" s="16">
        <f>ROUND(0.7451, 4)</f>
        <v>0.74509999999999998</v>
      </c>
      <c r="E58" s="16">
        <f>ROUND(0.7856, 4)</f>
        <v>0.78559999999999997</v>
      </c>
      <c r="F58" s="9"/>
      <c r="G58" s="15" t="s">
        <v>63</v>
      </c>
      <c r="H58" s="27" t="s">
        <v>64</v>
      </c>
      <c r="I58" s="24" t="s">
        <v>65</v>
      </c>
      <c r="J58" s="24" t="s">
        <v>66</v>
      </c>
    </row>
    <row r="59" spans="1:10" x14ac:dyDescent="0.25">
      <c r="A59" s="21" t="s">
        <v>67</v>
      </c>
      <c r="B59" s="21"/>
      <c r="C59" s="16">
        <f>ROUND(0.7353, 4)</f>
        <v>0.73529999999999995</v>
      </c>
      <c r="D59" s="16">
        <f>ROUND(0.7058, 4)</f>
        <v>0.70579999999999998</v>
      </c>
      <c r="E59" s="16">
        <f>ROUND(0.7702, 4)</f>
        <v>0.7702</v>
      </c>
      <c r="F59" s="9"/>
      <c r="G59" s="15" t="s">
        <v>68</v>
      </c>
      <c r="H59" s="28"/>
      <c r="I59" s="25"/>
      <c r="J59" s="25"/>
    </row>
    <row r="60" spans="1:10" x14ac:dyDescent="0.25">
      <c r="C60" s="9"/>
      <c r="D60" s="9"/>
      <c r="E60" s="9"/>
      <c r="F60" s="9"/>
      <c r="G60" s="9"/>
      <c r="H60" s="9"/>
      <c r="I60" s="10"/>
      <c r="J60" s="10"/>
    </row>
    <row r="61" spans="1:10" x14ac:dyDescent="0.25">
      <c r="C61" s="9"/>
      <c r="D61" s="9"/>
      <c r="E61" s="9"/>
      <c r="F61" s="9"/>
      <c r="G61" s="9"/>
      <c r="H61" s="9"/>
      <c r="I61" s="10"/>
      <c r="J61" s="10"/>
    </row>
    <row r="62" spans="1:10" x14ac:dyDescent="0.25">
      <c r="C62" s="9"/>
      <c r="D62" s="9"/>
      <c r="E62" s="9"/>
      <c r="F62" s="9"/>
      <c r="G62" s="9"/>
      <c r="H62" s="9"/>
      <c r="I62" s="10"/>
      <c r="J62" s="10"/>
    </row>
    <row r="63" spans="1:10" x14ac:dyDescent="0.25">
      <c r="A63" s="26" t="s">
        <v>69</v>
      </c>
      <c r="B63" s="26"/>
      <c r="C63" s="15" t="s">
        <v>2</v>
      </c>
      <c r="D63" s="15" t="s">
        <v>176</v>
      </c>
      <c r="E63" s="15" t="s">
        <v>71</v>
      </c>
      <c r="F63" s="15" t="s">
        <v>72</v>
      </c>
      <c r="G63" s="15" t="s">
        <v>73</v>
      </c>
      <c r="H63" s="14"/>
      <c r="I63" s="18"/>
      <c r="J63" s="18"/>
    </row>
    <row r="64" spans="1:10" x14ac:dyDescent="0.25">
      <c r="A64" s="21" t="s">
        <v>74</v>
      </c>
      <c r="B64" s="21"/>
      <c r="C64" s="17">
        <v>131.56</v>
      </c>
      <c r="D64" s="17">
        <v>136.33000000000001</v>
      </c>
      <c r="E64" s="17">
        <v>96.15</v>
      </c>
      <c r="F64" s="17">
        <v>57.94</v>
      </c>
      <c r="G64" s="17">
        <f>12/12*C64</f>
        <v>131.56</v>
      </c>
      <c r="H64" s="9"/>
      <c r="I64" s="10"/>
      <c r="J64" s="10"/>
    </row>
    <row r="65" spans="1:10" x14ac:dyDescent="0.25">
      <c r="A65" s="21" t="s">
        <v>75</v>
      </c>
      <c r="B65" s="21"/>
      <c r="C65" s="17">
        <v>72.239999999999995</v>
      </c>
      <c r="D65" s="17">
        <v>70.7</v>
      </c>
      <c r="E65" s="17">
        <v>62.28</v>
      </c>
      <c r="F65" s="17">
        <v>66.599999999999994</v>
      </c>
      <c r="G65" s="17">
        <f>12/12*C65</f>
        <v>72.239999999999995</v>
      </c>
      <c r="H65" s="9"/>
      <c r="I65" s="10"/>
      <c r="J65" s="10"/>
    </row>
    <row r="66" spans="1:10" x14ac:dyDescent="0.25">
      <c r="A66" s="21" t="s">
        <v>76</v>
      </c>
      <c r="B66" s="21"/>
      <c r="C66" s="17">
        <v>425.41</v>
      </c>
      <c r="D66" s="17">
        <v>323.39999999999998</v>
      </c>
      <c r="E66" s="17">
        <v>300.02</v>
      </c>
      <c r="F66" s="17">
        <v>295.08</v>
      </c>
      <c r="G66" s="17">
        <f>12/12*C66</f>
        <v>425.41</v>
      </c>
      <c r="H66" s="9"/>
      <c r="I66" s="10"/>
      <c r="J66" s="10"/>
    </row>
    <row r="67" spans="1:10" x14ac:dyDescent="0.25">
      <c r="A67" s="21" t="s">
        <v>77</v>
      </c>
      <c r="B67" s="21"/>
      <c r="C67" s="17">
        <v>150.74</v>
      </c>
      <c r="D67" s="17">
        <v>145.99</v>
      </c>
      <c r="E67" s="17">
        <v>120.96</v>
      </c>
      <c r="F67" s="17">
        <v>83.12</v>
      </c>
      <c r="G67" s="17">
        <f>12/12*C67</f>
        <v>150.74</v>
      </c>
      <c r="H67" s="9"/>
      <c r="I67" s="10"/>
      <c r="J67" s="10"/>
    </row>
    <row r="68" spans="1:10" x14ac:dyDescent="0.25">
      <c r="C68" s="9"/>
      <c r="D68" s="9"/>
      <c r="E68" s="9"/>
      <c r="F68" s="9"/>
      <c r="G68" s="9"/>
      <c r="H68" s="9"/>
      <c r="I68" s="10"/>
      <c r="J68" s="10"/>
    </row>
    <row r="69" spans="1:10" x14ac:dyDescent="0.25">
      <c r="C69" s="9"/>
      <c r="D69" s="9"/>
      <c r="E69" s="9"/>
      <c r="F69" s="9"/>
      <c r="G69" s="9"/>
      <c r="H69" s="9"/>
      <c r="I69" s="10"/>
      <c r="J69" s="10"/>
    </row>
    <row r="70" spans="1:10" x14ac:dyDescent="0.25">
      <c r="A70" s="22" t="s">
        <v>61</v>
      </c>
      <c r="B70" s="23"/>
      <c r="C70" s="9"/>
      <c r="D70" s="9"/>
      <c r="E70" s="9"/>
      <c r="F70" s="9"/>
      <c r="G70" s="9"/>
      <c r="H70" s="9"/>
      <c r="I70" s="10"/>
      <c r="J70" s="10"/>
    </row>
    <row r="71" spans="1:10" x14ac:dyDescent="0.25">
      <c r="A71" s="3" t="s">
        <v>78</v>
      </c>
      <c r="B71" s="1" t="s">
        <v>177</v>
      </c>
    </row>
    <row r="72" spans="1:10" x14ac:dyDescent="0.25">
      <c r="A72" s="3" t="s">
        <v>71</v>
      </c>
      <c r="B72" s="1" t="s">
        <v>80</v>
      </c>
    </row>
    <row r="73" spans="1:10" x14ac:dyDescent="0.25">
      <c r="A73" s="3" t="s">
        <v>72</v>
      </c>
      <c r="B73" s="1" t="s">
        <v>81</v>
      </c>
    </row>
    <row r="74" spans="1:10" x14ac:dyDescent="0.25">
      <c r="A74" s="3" t="s">
        <v>73</v>
      </c>
      <c r="B74" s="1" t="s">
        <v>82</v>
      </c>
    </row>
  </sheetData>
  <mergeCells count="19">
    <mergeCell ref="C7:G7"/>
    <mergeCell ref="A43:B43"/>
    <mergeCell ref="A44:B44"/>
    <mergeCell ref="A49:B49"/>
    <mergeCell ref="A50:B50"/>
    <mergeCell ref="J58:J59"/>
    <mergeCell ref="A59:B59"/>
    <mergeCell ref="A63:B63"/>
    <mergeCell ref="A64:B64"/>
    <mergeCell ref="A51:B51"/>
    <mergeCell ref="A52:B52"/>
    <mergeCell ref="A57:B57"/>
    <mergeCell ref="A58:B58"/>
    <mergeCell ref="H58:H59"/>
    <mergeCell ref="A65:B65"/>
    <mergeCell ref="A66:B66"/>
    <mergeCell ref="A67:B67"/>
    <mergeCell ref="A70:B70"/>
    <mergeCell ref="I58:I59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J72"/>
  <sheetViews>
    <sheetView workbookViewId="0">
      <selection activeCell="H5" sqref="H5"/>
    </sheetView>
  </sheetViews>
  <sheetFormatPr defaultRowHeight="15" x14ac:dyDescent="0.25"/>
  <cols>
    <col min="1" max="1" width="28.42578125" bestFit="1" customWidth="1"/>
    <col min="2" max="2" width="59.5703125" bestFit="1" customWidth="1"/>
    <col min="3" max="3" width="12.7109375" bestFit="1" customWidth="1"/>
    <col min="4" max="4" width="28.85546875" bestFit="1" customWidth="1"/>
    <col min="5" max="5" width="13.85546875" bestFit="1" customWidth="1"/>
    <col min="6" max="6" width="8.5703125" bestFit="1" customWidth="1"/>
    <col min="7" max="7" width="47.7109375" bestFit="1" customWidth="1"/>
    <col min="8" max="9" width="16.7109375" bestFit="1" customWidth="1"/>
    <col min="10" max="10" width="24.42578125" bestFit="1" customWidth="1"/>
  </cols>
  <sheetData>
    <row r="2" spans="1:10" ht="18.75" x14ac:dyDescent="0.3">
      <c r="A2" s="3" t="s">
        <v>0</v>
      </c>
      <c r="B2" s="4" t="s">
        <v>178</v>
      </c>
    </row>
    <row r="3" spans="1:10" x14ac:dyDescent="0.25">
      <c r="A3" s="3" t="s">
        <v>2</v>
      </c>
      <c r="B3" s="1" t="s">
        <v>3</v>
      </c>
    </row>
    <row r="4" spans="1:10" x14ac:dyDescent="0.25">
      <c r="A4" s="3" t="s">
        <v>4</v>
      </c>
      <c r="B4" s="20">
        <v>914</v>
      </c>
    </row>
    <row r="7" spans="1:10" x14ac:dyDescent="0.25">
      <c r="C7" s="22" t="s">
        <v>5</v>
      </c>
      <c r="D7" s="21"/>
      <c r="E7" s="21"/>
      <c r="F7" s="21"/>
      <c r="G7" s="21"/>
    </row>
    <row r="8" spans="1:10" x14ac:dyDescent="0.25">
      <c r="A8" s="3" t="s">
        <v>6</v>
      </c>
      <c r="B8" s="3" t="s">
        <v>7</v>
      </c>
      <c r="C8" s="15" t="s">
        <v>8</v>
      </c>
      <c r="D8" s="15" t="s">
        <v>9</v>
      </c>
      <c r="E8" s="15" t="s">
        <v>10</v>
      </c>
      <c r="F8" s="15" t="s">
        <v>11</v>
      </c>
      <c r="G8" s="15" t="s">
        <v>12</v>
      </c>
      <c r="H8" s="15" t="s">
        <v>13</v>
      </c>
      <c r="I8" s="15" t="s">
        <v>14</v>
      </c>
      <c r="J8" s="15" t="s">
        <v>15</v>
      </c>
    </row>
    <row r="9" spans="1:10" x14ac:dyDescent="0.25">
      <c r="A9" s="1" t="s">
        <v>16</v>
      </c>
      <c r="B9" s="1" t="s">
        <v>17</v>
      </c>
      <c r="C9" s="11"/>
      <c r="D9" s="11"/>
      <c r="E9" s="11">
        <v>127</v>
      </c>
      <c r="F9" s="11"/>
      <c r="G9" s="11">
        <f t="shared" ref="G9:G38" si="0">SUM(C9:F9)</f>
        <v>127</v>
      </c>
      <c r="H9" s="17">
        <f t="shared" ref="H9:H38" si="1">ROUND(G9/914,2)</f>
        <v>0.14000000000000001</v>
      </c>
      <c r="I9" s="16">
        <f t="shared" ref="I9:I38" si="2">ROUND(G9/$G$39,3)</f>
        <v>0</v>
      </c>
      <c r="J9" s="16">
        <f>ROUND(G9/34-1,2)</f>
        <v>2.74</v>
      </c>
    </row>
    <row r="10" spans="1:10" x14ac:dyDescent="0.25">
      <c r="A10" s="1" t="s">
        <v>16</v>
      </c>
      <c r="B10" s="1" t="s">
        <v>19</v>
      </c>
      <c r="C10" s="11">
        <v>45410</v>
      </c>
      <c r="D10" s="11"/>
      <c r="E10" s="11">
        <v>6860</v>
      </c>
      <c r="F10" s="11"/>
      <c r="G10" s="11">
        <f t="shared" si="0"/>
        <v>52270</v>
      </c>
      <c r="H10" s="17">
        <f t="shared" si="1"/>
        <v>57.19</v>
      </c>
      <c r="I10" s="16">
        <f t="shared" si="2"/>
        <v>8.1000000000000003E-2</v>
      </c>
      <c r="J10" s="16">
        <f>ROUND(G10/58795-1,2)</f>
        <v>-0.11</v>
      </c>
    </row>
    <row r="11" spans="1:10" x14ac:dyDescent="0.25">
      <c r="A11" s="1" t="s">
        <v>16</v>
      </c>
      <c r="B11" s="1" t="s">
        <v>20</v>
      </c>
      <c r="C11" s="11">
        <v>64220</v>
      </c>
      <c r="D11" s="11"/>
      <c r="E11" s="11"/>
      <c r="F11" s="11"/>
      <c r="G11" s="11">
        <f t="shared" si="0"/>
        <v>64220</v>
      </c>
      <c r="H11" s="17">
        <f t="shared" si="1"/>
        <v>70.260000000000005</v>
      </c>
      <c r="I11" s="16">
        <f t="shared" si="2"/>
        <v>9.9000000000000005E-2</v>
      </c>
      <c r="J11" s="16">
        <f>ROUND(G11/74771-1,2)</f>
        <v>-0.14000000000000001</v>
      </c>
    </row>
    <row r="12" spans="1:10" x14ac:dyDescent="0.25">
      <c r="A12" s="1" t="s">
        <v>16</v>
      </c>
      <c r="B12" s="1" t="s">
        <v>21</v>
      </c>
      <c r="C12" s="11"/>
      <c r="D12" s="11"/>
      <c r="E12" s="11">
        <v>38</v>
      </c>
      <c r="F12" s="11"/>
      <c r="G12" s="11">
        <f t="shared" si="0"/>
        <v>38</v>
      </c>
      <c r="H12" s="17">
        <f t="shared" si="1"/>
        <v>0.04</v>
      </c>
      <c r="I12" s="16">
        <f t="shared" si="2"/>
        <v>0</v>
      </c>
      <c r="J12" s="16"/>
    </row>
    <row r="13" spans="1:10" x14ac:dyDescent="0.25">
      <c r="A13" s="1" t="s">
        <v>16</v>
      </c>
      <c r="B13" s="1" t="s">
        <v>22</v>
      </c>
      <c r="C13" s="11"/>
      <c r="D13" s="11"/>
      <c r="E13" s="11">
        <v>823</v>
      </c>
      <c r="F13" s="11"/>
      <c r="G13" s="11">
        <f t="shared" si="0"/>
        <v>823</v>
      </c>
      <c r="H13" s="17">
        <f t="shared" si="1"/>
        <v>0.9</v>
      </c>
      <c r="I13" s="16">
        <f t="shared" si="2"/>
        <v>1E-3</v>
      </c>
      <c r="J13" s="16">
        <f>ROUND(G13/1013-1,2)</f>
        <v>-0.19</v>
      </c>
    </row>
    <row r="14" spans="1:10" x14ac:dyDescent="0.25">
      <c r="A14" s="1" t="s">
        <v>16</v>
      </c>
      <c r="B14" s="1" t="s">
        <v>23</v>
      </c>
      <c r="C14" s="11"/>
      <c r="D14" s="11"/>
      <c r="E14" s="11">
        <v>66960</v>
      </c>
      <c r="F14" s="11"/>
      <c r="G14" s="11">
        <f t="shared" si="0"/>
        <v>66960</v>
      </c>
      <c r="H14" s="17">
        <f t="shared" si="1"/>
        <v>73.260000000000005</v>
      </c>
      <c r="I14" s="16">
        <f t="shared" si="2"/>
        <v>0.10299999999999999</v>
      </c>
      <c r="J14" s="16">
        <f>ROUND(G14/60647-1,2)</f>
        <v>0.1</v>
      </c>
    </row>
    <row r="15" spans="1:10" x14ac:dyDescent="0.25">
      <c r="A15" s="1" t="s">
        <v>16</v>
      </c>
      <c r="B15" s="1" t="s">
        <v>24</v>
      </c>
      <c r="C15" s="11">
        <v>56410</v>
      </c>
      <c r="D15" s="11"/>
      <c r="E15" s="11">
        <v>13700</v>
      </c>
      <c r="F15" s="11"/>
      <c r="G15" s="11">
        <f t="shared" si="0"/>
        <v>70110</v>
      </c>
      <c r="H15" s="17">
        <f t="shared" si="1"/>
        <v>76.709999999999994</v>
      </c>
      <c r="I15" s="16">
        <f t="shared" si="2"/>
        <v>0.108</v>
      </c>
      <c r="J15" s="16">
        <f>ROUND(G15/75605-1,2)</f>
        <v>-7.0000000000000007E-2</v>
      </c>
    </row>
    <row r="16" spans="1:10" x14ac:dyDescent="0.25">
      <c r="A16" s="1" t="s">
        <v>16</v>
      </c>
      <c r="B16" s="1" t="s">
        <v>25</v>
      </c>
      <c r="C16" s="11"/>
      <c r="D16" s="11"/>
      <c r="E16" s="11">
        <v>2279</v>
      </c>
      <c r="F16" s="11"/>
      <c r="G16" s="11">
        <f t="shared" si="0"/>
        <v>2279</v>
      </c>
      <c r="H16" s="17">
        <f t="shared" si="1"/>
        <v>2.4900000000000002</v>
      </c>
      <c r="I16" s="16">
        <f t="shared" si="2"/>
        <v>4.0000000000000001E-3</v>
      </c>
      <c r="J16" s="16">
        <f>ROUND(G16/2652-1,2)</f>
        <v>-0.14000000000000001</v>
      </c>
    </row>
    <row r="17" spans="1:10" x14ac:dyDescent="0.25">
      <c r="A17" s="1" t="s">
        <v>16</v>
      </c>
      <c r="B17" s="1" t="s">
        <v>26</v>
      </c>
      <c r="C17" s="11">
        <v>85550</v>
      </c>
      <c r="D17" s="11"/>
      <c r="E17" s="11"/>
      <c r="F17" s="11"/>
      <c r="G17" s="11">
        <f t="shared" si="0"/>
        <v>85550</v>
      </c>
      <c r="H17" s="17">
        <f t="shared" si="1"/>
        <v>93.6</v>
      </c>
      <c r="I17" s="16">
        <f t="shared" si="2"/>
        <v>0.13200000000000001</v>
      </c>
      <c r="J17" s="16">
        <f>ROUND(G17/73570-1,2)</f>
        <v>0.16</v>
      </c>
    </row>
    <row r="18" spans="1:10" x14ac:dyDescent="0.25">
      <c r="A18" s="1" t="s">
        <v>16</v>
      </c>
      <c r="B18" s="1" t="s">
        <v>27</v>
      </c>
      <c r="C18" s="11"/>
      <c r="D18" s="11"/>
      <c r="E18" s="11">
        <v>781</v>
      </c>
      <c r="F18" s="11"/>
      <c r="G18" s="11">
        <f t="shared" si="0"/>
        <v>781</v>
      </c>
      <c r="H18" s="17">
        <f t="shared" si="1"/>
        <v>0.85</v>
      </c>
      <c r="I18" s="16">
        <f t="shared" si="2"/>
        <v>1E-3</v>
      </c>
      <c r="J18" s="16">
        <f>ROUND(G18/791-1,2)</f>
        <v>-0.01</v>
      </c>
    </row>
    <row r="19" spans="1:10" x14ac:dyDescent="0.25">
      <c r="A19" s="1" t="s">
        <v>16</v>
      </c>
      <c r="B19" s="1" t="s">
        <v>28</v>
      </c>
      <c r="C19" s="11"/>
      <c r="D19" s="11"/>
      <c r="E19" s="11">
        <v>225</v>
      </c>
      <c r="F19" s="11"/>
      <c r="G19" s="11">
        <f t="shared" si="0"/>
        <v>225</v>
      </c>
      <c r="H19" s="17">
        <f t="shared" si="1"/>
        <v>0.25</v>
      </c>
      <c r="I19" s="16">
        <f t="shared" si="2"/>
        <v>0</v>
      </c>
      <c r="J19" s="16">
        <f>ROUND(G19/271-1,2)</f>
        <v>-0.17</v>
      </c>
    </row>
    <row r="20" spans="1:10" x14ac:dyDescent="0.25">
      <c r="A20" s="1" t="s">
        <v>16</v>
      </c>
      <c r="B20" s="1" t="s">
        <v>29</v>
      </c>
      <c r="C20" s="11"/>
      <c r="D20" s="11"/>
      <c r="E20" s="11">
        <v>87</v>
      </c>
      <c r="F20" s="11"/>
      <c r="G20" s="11">
        <f t="shared" si="0"/>
        <v>87</v>
      </c>
      <c r="H20" s="17">
        <f t="shared" si="1"/>
        <v>0.1</v>
      </c>
      <c r="I20" s="16">
        <f t="shared" si="2"/>
        <v>0</v>
      </c>
      <c r="J20" s="16">
        <f>ROUND(G20/85-1,2)</f>
        <v>0.02</v>
      </c>
    </row>
    <row r="21" spans="1:10" x14ac:dyDescent="0.25">
      <c r="A21" s="1" t="s">
        <v>16</v>
      </c>
      <c r="B21" s="1" t="s">
        <v>30</v>
      </c>
      <c r="C21" s="11"/>
      <c r="D21" s="11"/>
      <c r="E21" s="11">
        <v>4431</v>
      </c>
      <c r="F21" s="11"/>
      <c r="G21" s="11">
        <f t="shared" si="0"/>
        <v>4431</v>
      </c>
      <c r="H21" s="17">
        <f t="shared" si="1"/>
        <v>4.8499999999999996</v>
      </c>
      <c r="I21" s="16">
        <f t="shared" si="2"/>
        <v>7.0000000000000001E-3</v>
      </c>
      <c r="J21" s="16">
        <f>ROUND(G21/2412-1,2)</f>
        <v>0.84</v>
      </c>
    </row>
    <row r="22" spans="1:10" x14ac:dyDescent="0.25">
      <c r="A22" s="1" t="s">
        <v>16</v>
      </c>
      <c r="B22" s="1" t="s">
        <v>31</v>
      </c>
      <c r="C22" s="11"/>
      <c r="D22" s="11"/>
      <c r="E22" s="11">
        <v>399</v>
      </c>
      <c r="F22" s="11"/>
      <c r="G22" s="11">
        <f t="shared" si="0"/>
        <v>399</v>
      </c>
      <c r="H22" s="17">
        <f t="shared" si="1"/>
        <v>0.44</v>
      </c>
      <c r="I22" s="16">
        <f t="shared" si="2"/>
        <v>1E-3</v>
      </c>
      <c r="J22" s="16">
        <f>ROUND(G22/488-1,2)</f>
        <v>-0.18</v>
      </c>
    </row>
    <row r="23" spans="1:10" x14ac:dyDescent="0.25">
      <c r="A23" s="1" t="s">
        <v>16</v>
      </c>
      <c r="B23" s="1" t="s">
        <v>33</v>
      </c>
      <c r="C23" s="11"/>
      <c r="D23" s="11"/>
      <c r="E23" s="11">
        <v>906</v>
      </c>
      <c r="F23" s="11"/>
      <c r="G23" s="11">
        <f t="shared" si="0"/>
        <v>906</v>
      </c>
      <c r="H23" s="17">
        <f t="shared" si="1"/>
        <v>0.99</v>
      </c>
      <c r="I23" s="16">
        <f t="shared" si="2"/>
        <v>1E-3</v>
      </c>
      <c r="J23" s="16">
        <f>ROUND(G23/494-1,2)</f>
        <v>0.83</v>
      </c>
    </row>
    <row r="24" spans="1:10" x14ac:dyDescent="0.25">
      <c r="A24" s="1" t="s">
        <v>16</v>
      </c>
      <c r="B24" s="1" t="s">
        <v>34</v>
      </c>
      <c r="C24" s="11"/>
      <c r="D24" s="11"/>
      <c r="E24" s="11">
        <v>31</v>
      </c>
      <c r="F24" s="11"/>
      <c r="G24" s="11">
        <f t="shared" si="0"/>
        <v>31</v>
      </c>
      <c r="H24" s="17">
        <f t="shared" si="1"/>
        <v>0.03</v>
      </c>
      <c r="I24" s="16">
        <f t="shared" si="2"/>
        <v>0</v>
      </c>
      <c r="J24" s="16">
        <f>ROUND(G24/101-1,2)</f>
        <v>-0.69</v>
      </c>
    </row>
    <row r="25" spans="1:10" x14ac:dyDescent="0.25">
      <c r="A25" s="1" t="s">
        <v>16</v>
      </c>
      <c r="B25" s="1" t="s">
        <v>35</v>
      </c>
      <c r="C25" s="11"/>
      <c r="D25" s="11"/>
      <c r="E25" s="11">
        <v>1154.5</v>
      </c>
      <c r="F25" s="11"/>
      <c r="G25" s="11">
        <f t="shared" si="0"/>
        <v>1154.5</v>
      </c>
      <c r="H25" s="17">
        <f t="shared" si="1"/>
        <v>1.26</v>
      </c>
      <c r="I25" s="16">
        <f t="shared" si="2"/>
        <v>2E-3</v>
      </c>
      <c r="J25" s="16"/>
    </row>
    <row r="26" spans="1:10" x14ac:dyDescent="0.25">
      <c r="A26" s="1" t="s">
        <v>16</v>
      </c>
      <c r="B26" s="1" t="s">
        <v>37</v>
      </c>
      <c r="C26" s="11"/>
      <c r="D26" s="11"/>
      <c r="E26" s="11">
        <v>1557</v>
      </c>
      <c r="F26" s="11"/>
      <c r="G26" s="11">
        <f t="shared" si="0"/>
        <v>1557</v>
      </c>
      <c r="H26" s="17">
        <f t="shared" si="1"/>
        <v>1.7</v>
      </c>
      <c r="I26" s="16">
        <f t="shared" si="2"/>
        <v>2E-3</v>
      </c>
      <c r="J26" s="16">
        <f>ROUND(G26/1348-1,2)</f>
        <v>0.16</v>
      </c>
    </row>
    <row r="27" spans="1:10" x14ac:dyDescent="0.25">
      <c r="A27" s="1" t="s">
        <v>16</v>
      </c>
      <c r="B27" s="1" t="s">
        <v>39</v>
      </c>
      <c r="C27" s="11"/>
      <c r="D27" s="11"/>
      <c r="E27" s="11">
        <v>5128</v>
      </c>
      <c r="F27" s="11"/>
      <c r="G27" s="11">
        <f t="shared" si="0"/>
        <v>5128</v>
      </c>
      <c r="H27" s="17">
        <f t="shared" si="1"/>
        <v>5.61</v>
      </c>
      <c r="I27" s="16">
        <f t="shared" si="2"/>
        <v>8.0000000000000002E-3</v>
      </c>
      <c r="J27" s="16">
        <f>ROUND(G27/4305-1,2)</f>
        <v>0.19</v>
      </c>
    </row>
    <row r="28" spans="1:10" x14ac:dyDescent="0.25">
      <c r="A28" s="1" t="s">
        <v>16</v>
      </c>
      <c r="B28" s="1" t="s">
        <v>38</v>
      </c>
      <c r="C28" s="11"/>
      <c r="D28" s="11"/>
      <c r="E28" s="11">
        <v>5552</v>
      </c>
      <c r="F28" s="11"/>
      <c r="G28" s="11">
        <f t="shared" si="0"/>
        <v>5552</v>
      </c>
      <c r="H28" s="17">
        <f t="shared" si="1"/>
        <v>6.07</v>
      </c>
      <c r="I28" s="16">
        <f t="shared" si="2"/>
        <v>8.9999999999999993E-3</v>
      </c>
      <c r="J28" s="16">
        <f>ROUND(G28/5836-1,2)</f>
        <v>-0.05</v>
      </c>
    </row>
    <row r="29" spans="1:10" x14ac:dyDescent="0.25">
      <c r="A29" s="1" t="s">
        <v>16</v>
      </c>
      <c r="B29" s="1" t="s">
        <v>40</v>
      </c>
      <c r="C29" s="11"/>
      <c r="D29" s="11"/>
      <c r="E29" s="11">
        <v>39428</v>
      </c>
      <c r="F29" s="11"/>
      <c r="G29" s="11">
        <f t="shared" si="0"/>
        <v>39428</v>
      </c>
      <c r="H29" s="17">
        <f t="shared" si="1"/>
        <v>43.14</v>
      </c>
      <c r="I29" s="16">
        <f t="shared" si="2"/>
        <v>6.0999999999999999E-2</v>
      </c>
      <c r="J29" s="16">
        <f>ROUND(G29/32956-1,2)</f>
        <v>0.2</v>
      </c>
    </row>
    <row r="30" spans="1:10" x14ac:dyDescent="0.25">
      <c r="A30" s="1" t="s">
        <v>16</v>
      </c>
      <c r="B30" s="1" t="s">
        <v>42</v>
      </c>
      <c r="C30" s="11"/>
      <c r="D30" s="11"/>
      <c r="E30" s="11">
        <v>15791</v>
      </c>
      <c r="F30" s="11"/>
      <c r="G30" s="11">
        <f t="shared" si="0"/>
        <v>15791</v>
      </c>
      <c r="H30" s="17">
        <f t="shared" si="1"/>
        <v>17.28</v>
      </c>
      <c r="I30" s="16">
        <f t="shared" si="2"/>
        <v>2.4E-2</v>
      </c>
      <c r="J30" s="16">
        <f>ROUND(G30/12020-1,2)</f>
        <v>0.31</v>
      </c>
    </row>
    <row r="31" spans="1:10" x14ac:dyDescent="0.25">
      <c r="A31" s="1" t="s">
        <v>16</v>
      </c>
      <c r="B31" s="1" t="s">
        <v>44</v>
      </c>
      <c r="C31" s="11"/>
      <c r="D31" s="11"/>
      <c r="E31" s="11">
        <v>50067</v>
      </c>
      <c r="F31" s="11"/>
      <c r="G31" s="11">
        <f t="shared" si="0"/>
        <v>50067</v>
      </c>
      <c r="H31" s="17">
        <f t="shared" si="1"/>
        <v>54.78</v>
      </c>
      <c r="I31" s="16">
        <f t="shared" si="2"/>
        <v>7.6999999999999999E-2</v>
      </c>
      <c r="J31" s="16">
        <f>ROUND(G31/6990-1,2)</f>
        <v>6.16</v>
      </c>
    </row>
    <row r="32" spans="1:10" x14ac:dyDescent="0.25">
      <c r="A32" s="1" t="s">
        <v>16</v>
      </c>
      <c r="B32" s="1" t="s">
        <v>36</v>
      </c>
      <c r="C32" s="11"/>
      <c r="D32" s="11"/>
      <c r="E32" s="11"/>
      <c r="F32" s="11"/>
      <c r="G32" s="11">
        <f t="shared" si="0"/>
        <v>0</v>
      </c>
      <c r="H32" s="17">
        <f t="shared" si="1"/>
        <v>0</v>
      </c>
      <c r="I32" s="16">
        <f t="shared" si="2"/>
        <v>0</v>
      </c>
      <c r="J32" s="16">
        <f>ROUND(G32/184-1,2)</f>
        <v>-1</v>
      </c>
    </row>
    <row r="33" spans="1:10" x14ac:dyDescent="0.25">
      <c r="A33" s="1" t="s">
        <v>16</v>
      </c>
      <c r="B33" s="1" t="s">
        <v>32</v>
      </c>
      <c r="C33" s="11"/>
      <c r="D33" s="11"/>
      <c r="E33" s="11"/>
      <c r="F33" s="11"/>
      <c r="G33" s="11">
        <f t="shared" si="0"/>
        <v>0</v>
      </c>
      <c r="H33" s="17">
        <f t="shared" si="1"/>
        <v>0</v>
      </c>
      <c r="I33" s="16">
        <f t="shared" si="2"/>
        <v>0</v>
      </c>
      <c r="J33" s="16"/>
    </row>
    <row r="34" spans="1:10" x14ac:dyDescent="0.25">
      <c r="A34" s="1" t="s">
        <v>16</v>
      </c>
      <c r="B34" s="1" t="s">
        <v>41</v>
      </c>
      <c r="C34" s="11"/>
      <c r="D34" s="11"/>
      <c r="E34" s="11"/>
      <c r="F34" s="11"/>
      <c r="G34" s="11">
        <f t="shared" si="0"/>
        <v>0</v>
      </c>
      <c r="H34" s="17">
        <f t="shared" si="1"/>
        <v>0</v>
      </c>
      <c r="I34" s="16">
        <f t="shared" si="2"/>
        <v>0</v>
      </c>
      <c r="J34" s="16"/>
    </row>
    <row r="35" spans="1:10" x14ac:dyDescent="0.25">
      <c r="A35" s="1" t="s">
        <v>45</v>
      </c>
      <c r="B35" s="1" t="s">
        <v>46</v>
      </c>
      <c r="C35" s="11">
        <v>141140</v>
      </c>
      <c r="D35" s="11"/>
      <c r="E35" s="11"/>
      <c r="F35" s="11"/>
      <c r="G35" s="11">
        <f t="shared" si="0"/>
        <v>141140</v>
      </c>
      <c r="H35" s="17">
        <f t="shared" si="1"/>
        <v>154.41999999999999</v>
      </c>
      <c r="I35" s="16">
        <f t="shared" si="2"/>
        <v>0.218</v>
      </c>
      <c r="J35" s="16">
        <f>ROUND(G35/173140-1,2)</f>
        <v>-0.18</v>
      </c>
    </row>
    <row r="36" spans="1:10" x14ac:dyDescent="0.25">
      <c r="A36" s="1" t="s">
        <v>45</v>
      </c>
      <c r="B36" s="1" t="s">
        <v>47</v>
      </c>
      <c r="C36" s="11"/>
      <c r="D36" s="11"/>
      <c r="E36" s="11">
        <v>38758</v>
      </c>
      <c r="F36" s="11"/>
      <c r="G36" s="11">
        <f t="shared" si="0"/>
        <v>38758</v>
      </c>
      <c r="H36" s="17">
        <f t="shared" si="1"/>
        <v>42.4</v>
      </c>
      <c r="I36" s="16">
        <f t="shared" si="2"/>
        <v>0.06</v>
      </c>
      <c r="J36" s="16">
        <f>ROUND(G36/34585-1,2)</f>
        <v>0.12</v>
      </c>
    </row>
    <row r="37" spans="1:10" x14ac:dyDescent="0.25">
      <c r="A37" s="1" t="s">
        <v>45</v>
      </c>
      <c r="B37" s="1" t="s">
        <v>48</v>
      </c>
      <c r="C37" s="11"/>
      <c r="D37" s="11"/>
      <c r="E37" s="11"/>
      <c r="F37" s="11"/>
      <c r="G37" s="11">
        <f t="shared" si="0"/>
        <v>0</v>
      </c>
      <c r="H37" s="17">
        <f t="shared" si="1"/>
        <v>0</v>
      </c>
      <c r="I37" s="16">
        <f t="shared" si="2"/>
        <v>0</v>
      </c>
      <c r="J37" s="16"/>
    </row>
    <row r="38" spans="1:10" x14ac:dyDescent="0.25">
      <c r="A38" s="1" t="s">
        <v>49</v>
      </c>
      <c r="B38" s="1" t="s">
        <v>52</v>
      </c>
      <c r="C38" s="11"/>
      <c r="D38" s="11"/>
      <c r="E38" s="11"/>
      <c r="F38" s="11"/>
      <c r="G38" s="11">
        <f t="shared" si="0"/>
        <v>0</v>
      </c>
      <c r="H38" s="17">
        <f t="shared" si="1"/>
        <v>0</v>
      </c>
      <c r="I38" s="16">
        <f t="shared" si="2"/>
        <v>0</v>
      </c>
      <c r="J38" s="16"/>
    </row>
    <row r="39" spans="1:10" x14ac:dyDescent="0.25">
      <c r="A39" s="26" t="s">
        <v>12</v>
      </c>
      <c r="B39" s="26"/>
      <c r="C39" s="12">
        <f t="shared" ref="C39:H39" si="3">SUM(C8:C38)</f>
        <v>392730</v>
      </c>
      <c r="D39" s="12">
        <f t="shared" si="3"/>
        <v>0</v>
      </c>
      <c r="E39" s="12">
        <f t="shared" si="3"/>
        <v>255082.5</v>
      </c>
      <c r="F39" s="12">
        <f t="shared" si="3"/>
        <v>0</v>
      </c>
      <c r="G39" s="12">
        <f t="shared" si="3"/>
        <v>647812.5</v>
      </c>
      <c r="H39" s="15">
        <f t="shared" si="3"/>
        <v>708.76</v>
      </c>
      <c r="I39" s="18"/>
      <c r="J39" s="18"/>
    </row>
    <row r="40" spans="1:10" x14ac:dyDescent="0.25">
      <c r="A40" s="26" t="s">
        <v>14</v>
      </c>
      <c r="B40" s="26"/>
      <c r="C40" s="13">
        <f>ROUND(C39/G39,2)</f>
        <v>0.61</v>
      </c>
      <c r="D40" s="13">
        <f>ROUND(D39/G39,2)</f>
        <v>0</v>
      </c>
      <c r="E40" s="13">
        <f>ROUND(E39/G39,2)</f>
        <v>0.39</v>
      </c>
      <c r="F40" s="13">
        <f>ROUND(F39/G39,2)</f>
        <v>0</v>
      </c>
      <c r="G40" s="14"/>
      <c r="H40" s="14"/>
      <c r="I40" s="18"/>
      <c r="J40" s="18"/>
    </row>
    <row r="41" spans="1:10" x14ac:dyDescent="0.25">
      <c r="A41" s="2" t="s">
        <v>53</v>
      </c>
      <c r="B41" s="2"/>
      <c r="C41" s="14"/>
      <c r="D41" s="14"/>
      <c r="E41" s="14"/>
      <c r="F41" s="14"/>
      <c r="G41" s="14"/>
      <c r="H41" s="14"/>
      <c r="I41" s="18"/>
      <c r="J41" s="18"/>
    </row>
    <row r="42" spans="1:10" x14ac:dyDescent="0.25">
      <c r="C42" s="9"/>
      <c r="D42" s="9"/>
      <c r="E42" s="9"/>
      <c r="F42" s="9"/>
      <c r="G42" s="9"/>
      <c r="H42" s="9"/>
      <c r="I42" s="10"/>
      <c r="J42" s="10"/>
    </row>
    <row r="43" spans="1:10" x14ac:dyDescent="0.25">
      <c r="C43" s="9"/>
      <c r="D43" s="9"/>
      <c r="E43" s="9"/>
      <c r="F43" s="9"/>
      <c r="G43" s="9"/>
      <c r="H43" s="9"/>
      <c r="I43" s="10"/>
      <c r="J43" s="10"/>
    </row>
    <row r="44" spans="1:10" x14ac:dyDescent="0.25">
      <c r="C44" s="9"/>
      <c r="D44" s="9"/>
      <c r="E44" s="9"/>
      <c r="F44" s="9"/>
      <c r="G44" s="9"/>
      <c r="H44" s="9"/>
      <c r="I44" s="10"/>
      <c r="J44" s="10"/>
    </row>
    <row r="45" spans="1:10" x14ac:dyDescent="0.25">
      <c r="A45" s="26" t="s">
        <v>54</v>
      </c>
      <c r="B45" s="26"/>
      <c r="C45" s="12" t="s">
        <v>8</v>
      </c>
      <c r="D45" s="12" t="s">
        <v>9</v>
      </c>
      <c r="E45" s="12" t="s">
        <v>10</v>
      </c>
      <c r="F45" s="12" t="s">
        <v>11</v>
      </c>
      <c r="G45" s="12" t="s">
        <v>12</v>
      </c>
      <c r="H45" s="15" t="s">
        <v>13</v>
      </c>
      <c r="I45" s="18"/>
      <c r="J45" s="18"/>
    </row>
    <row r="46" spans="1:10" x14ac:dyDescent="0.25">
      <c r="A46" s="21" t="s">
        <v>55</v>
      </c>
      <c r="B46" s="21"/>
      <c r="C46" s="11">
        <v>251590</v>
      </c>
      <c r="D46" s="11">
        <v>0</v>
      </c>
      <c r="E46" s="11">
        <v>216324.5</v>
      </c>
      <c r="F46" s="11">
        <v>0</v>
      </c>
      <c r="G46" s="11">
        <f>SUM(C46:F46)</f>
        <v>467914.5</v>
      </c>
      <c r="H46" s="17">
        <f>ROUND(G46/914,2)</f>
        <v>511.94</v>
      </c>
      <c r="I46" s="10"/>
      <c r="J46" s="10"/>
    </row>
    <row r="47" spans="1:10" x14ac:dyDescent="0.25">
      <c r="A47" s="21" t="s">
        <v>56</v>
      </c>
      <c r="B47" s="21"/>
      <c r="C47" s="11">
        <v>141140</v>
      </c>
      <c r="D47" s="11">
        <v>0</v>
      </c>
      <c r="E47" s="11">
        <v>38758</v>
      </c>
      <c r="F47" s="11">
        <v>0</v>
      </c>
      <c r="G47" s="11">
        <f>SUM(C47:F47)</f>
        <v>179898</v>
      </c>
      <c r="H47" s="17">
        <f>ROUND(G47/914,2)</f>
        <v>196.82</v>
      </c>
      <c r="I47" s="10"/>
      <c r="J47" s="10"/>
    </row>
    <row r="48" spans="1:10" x14ac:dyDescent="0.25">
      <c r="A48" s="21" t="s">
        <v>57</v>
      </c>
      <c r="B48" s="21"/>
      <c r="C48" s="11">
        <v>0</v>
      </c>
      <c r="D48" s="11">
        <v>0</v>
      </c>
      <c r="E48" s="11">
        <v>0</v>
      </c>
      <c r="F48" s="11">
        <v>0</v>
      </c>
      <c r="G48" s="11">
        <f>SUM(C48:F48)</f>
        <v>0</v>
      </c>
      <c r="H48" s="17">
        <f>ROUND(G48/914,2)</f>
        <v>0</v>
      </c>
      <c r="I48" s="10"/>
      <c r="J48" s="10"/>
    </row>
    <row r="49" spans="1:10" x14ac:dyDescent="0.25">
      <c r="C49" s="9"/>
      <c r="D49" s="9"/>
      <c r="E49" s="9"/>
      <c r="F49" s="9"/>
      <c r="G49" s="9"/>
      <c r="H49" s="9"/>
      <c r="I49" s="10"/>
      <c r="J49" s="10"/>
    </row>
    <row r="50" spans="1:10" x14ac:dyDescent="0.25">
      <c r="C50" s="9"/>
      <c r="D50" s="9"/>
      <c r="E50" s="9"/>
      <c r="F50" s="9"/>
      <c r="G50" s="9"/>
      <c r="H50" s="9"/>
      <c r="I50" s="10"/>
      <c r="J50" s="10"/>
    </row>
    <row r="51" spans="1:10" x14ac:dyDescent="0.25">
      <c r="C51" s="9"/>
      <c r="D51" s="9"/>
      <c r="E51" s="9"/>
      <c r="F51" s="9"/>
      <c r="G51" s="9"/>
      <c r="H51" s="9"/>
      <c r="I51" s="10"/>
      <c r="J51" s="10"/>
    </row>
    <row r="52" spans="1:10" x14ac:dyDescent="0.25">
      <c r="C52" s="9"/>
      <c r="D52" s="9"/>
      <c r="E52" s="9"/>
      <c r="F52" s="9"/>
      <c r="G52" s="9"/>
      <c r="H52" s="9"/>
      <c r="I52" s="10"/>
      <c r="J52" s="10"/>
    </row>
    <row r="53" spans="1:10" x14ac:dyDescent="0.25">
      <c r="A53" s="26" t="s">
        <v>58</v>
      </c>
      <c r="B53" s="26"/>
      <c r="C53" s="15" t="s">
        <v>2</v>
      </c>
      <c r="D53" s="15">
        <v>2024</v>
      </c>
      <c r="E53" s="15" t="s">
        <v>60</v>
      </c>
      <c r="F53" s="14"/>
      <c r="G53" s="15" t="s">
        <v>61</v>
      </c>
      <c r="H53" s="15" t="s">
        <v>2</v>
      </c>
      <c r="I53" s="13" t="s">
        <v>62</v>
      </c>
      <c r="J53" s="13" t="s">
        <v>60</v>
      </c>
    </row>
    <row r="54" spans="1:10" x14ac:dyDescent="0.25">
      <c r="A54" s="21" t="s">
        <v>59</v>
      </c>
      <c r="B54" s="21"/>
      <c r="C54" s="16">
        <f>ROUND(0.7567, 4)</f>
        <v>0.75670000000000004</v>
      </c>
      <c r="D54" s="16">
        <f>ROUND(0.6855, 4)</f>
        <v>0.6855</v>
      </c>
      <c r="E54" s="16">
        <f>ROUND(0.7856, 4)</f>
        <v>0.78559999999999997</v>
      </c>
      <c r="F54" s="9"/>
      <c r="G54" s="15" t="s">
        <v>63</v>
      </c>
      <c r="H54" s="27" t="s">
        <v>64</v>
      </c>
      <c r="I54" s="24" t="s">
        <v>65</v>
      </c>
      <c r="J54" s="24" t="s">
        <v>66</v>
      </c>
    </row>
    <row r="55" spans="1:10" x14ac:dyDescent="0.25">
      <c r="A55" s="21" t="s">
        <v>67</v>
      </c>
      <c r="B55" s="21"/>
      <c r="C55" s="16">
        <f>ROUND(0.7567, 4)</f>
        <v>0.75670000000000004</v>
      </c>
      <c r="D55" s="16">
        <f>ROUND(0.6464, 4)</f>
        <v>0.64639999999999997</v>
      </c>
      <c r="E55" s="16">
        <f>ROUND(0.7702, 4)</f>
        <v>0.7702</v>
      </c>
      <c r="F55" s="9"/>
      <c r="G55" s="15" t="s">
        <v>68</v>
      </c>
      <c r="H55" s="28"/>
      <c r="I55" s="25"/>
      <c r="J55" s="25"/>
    </row>
    <row r="56" spans="1:10" x14ac:dyDescent="0.25">
      <c r="C56" s="9"/>
      <c r="D56" s="9"/>
      <c r="E56" s="9"/>
      <c r="F56" s="9"/>
      <c r="G56" s="9"/>
      <c r="H56" s="9"/>
      <c r="I56" s="10"/>
      <c r="J56" s="10"/>
    </row>
    <row r="57" spans="1:10" x14ac:dyDescent="0.25">
      <c r="C57" s="9"/>
      <c r="D57" s="9"/>
      <c r="E57" s="9"/>
      <c r="F57" s="9"/>
      <c r="G57" s="9"/>
      <c r="H57" s="9"/>
      <c r="I57" s="10"/>
      <c r="J57" s="10"/>
    </row>
    <row r="58" spans="1:10" x14ac:dyDescent="0.25">
      <c r="C58" s="9"/>
      <c r="D58" s="9"/>
      <c r="E58" s="9"/>
      <c r="F58" s="9"/>
      <c r="G58" s="9"/>
      <c r="H58" s="9"/>
      <c r="I58" s="10"/>
      <c r="J58" s="10"/>
    </row>
    <row r="59" spans="1:10" x14ac:dyDescent="0.25">
      <c r="A59" s="26" t="s">
        <v>69</v>
      </c>
      <c r="B59" s="26"/>
      <c r="C59" s="15" t="s">
        <v>2</v>
      </c>
      <c r="D59" s="15" t="s">
        <v>179</v>
      </c>
      <c r="E59" s="15" t="s">
        <v>71</v>
      </c>
      <c r="F59" s="15" t="s">
        <v>72</v>
      </c>
      <c r="G59" s="15" t="s">
        <v>73</v>
      </c>
      <c r="H59" s="14"/>
      <c r="I59" s="18"/>
      <c r="J59" s="18"/>
    </row>
    <row r="60" spans="1:10" x14ac:dyDescent="0.25">
      <c r="A60" s="21" t="s">
        <v>74</v>
      </c>
      <c r="B60" s="21"/>
      <c r="C60" s="17">
        <v>154.41999999999999</v>
      </c>
      <c r="D60" s="17">
        <v>164.41</v>
      </c>
      <c r="E60" s="17">
        <v>96.15</v>
      </c>
      <c r="F60" s="17">
        <v>57.94</v>
      </c>
      <c r="G60" s="17">
        <f>12/12*C60</f>
        <v>154.41999999999999</v>
      </c>
      <c r="H60" s="9"/>
      <c r="I60" s="10"/>
      <c r="J60" s="10"/>
    </row>
    <row r="61" spans="1:10" x14ac:dyDescent="0.25">
      <c r="A61" s="21" t="s">
        <v>75</v>
      </c>
      <c r="B61" s="21"/>
      <c r="C61" s="17">
        <v>93.6</v>
      </c>
      <c r="D61" s="17">
        <v>84.22</v>
      </c>
      <c r="E61" s="17">
        <v>62.28</v>
      </c>
      <c r="F61" s="17">
        <v>66.599999999999994</v>
      </c>
      <c r="G61" s="17">
        <f>12/12*C61</f>
        <v>93.6</v>
      </c>
      <c r="H61" s="9"/>
      <c r="I61" s="10"/>
      <c r="J61" s="10"/>
    </row>
    <row r="62" spans="1:10" x14ac:dyDescent="0.25">
      <c r="A62" s="21" t="s">
        <v>76</v>
      </c>
      <c r="B62" s="21"/>
      <c r="C62" s="17">
        <v>511.94</v>
      </c>
      <c r="D62" s="17">
        <v>513.16999999999996</v>
      </c>
      <c r="E62" s="17">
        <v>300.02</v>
      </c>
      <c r="F62" s="17">
        <v>295.08</v>
      </c>
      <c r="G62" s="17">
        <f>12/12*C62</f>
        <v>511.94</v>
      </c>
      <c r="H62" s="9"/>
      <c r="I62" s="10"/>
      <c r="J62" s="10"/>
    </row>
    <row r="63" spans="1:10" x14ac:dyDescent="0.25">
      <c r="A63" s="21" t="s">
        <v>77</v>
      </c>
      <c r="B63" s="21"/>
      <c r="C63" s="17">
        <v>196.82</v>
      </c>
      <c r="D63" s="17">
        <v>223.66</v>
      </c>
      <c r="E63" s="17">
        <v>120.96</v>
      </c>
      <c r="F63" s="17">
        <v>83.12</v>
      </c>
      <c r="G63" s="17">
        <f>12/12*C63</f>
        <v>196.82</v>
      </c>
      <c r="H63" s="9"/>
      <c r="I63" s="10"/>
      <c r="J63" s="10"/>
    </row>
    <row r="64" spans="1:10" x14ac:dyDescent="0.25">
      <c r="C64" s="9"/>
      <c r="D64" s="9"/>
      <c r="E64" s="9"/>
      <c r="F64" s="9"/>
      <c r="G64" s="9"/>
      <c r="H64" s="9"/>
      <c r="I64" s="10"/>
      <c r="J64" s="10"/>
    </row>
    <row r="65" spans="1:10" x14ac:dyDescent="0.25">
      <c r="C65" s="9"/>
      <c r="D65" s="9"/>
      <c r="E65" s="9"/>
      <c r="F65" s="9"/>
      <c r="G65" s="9"/>
      <c r="H65" s="9"/>
      <c r="I65" s="10"/>
      <c r="J65" s="10"/>
    </row>
    <row r="66" spans="1:10" x14ac:dyDescent="0.25">
      <c r="A66" s="22" t="s">
        <v>61</v>
      </c>
      <c r="B66" s="23"/>
      <c r="C66" s="9"/>
      <c r="D66" s="9"/>
      <c r="E66" s="9"/>
      <c r="F66" s="9"/>
      <c r="G66" s="9"/>
      <c r="H66" s="9"/>
      <c r="I66" s="10"/>
      <c r="J66" s="10"/>
    </row>
    <row r="67" spans="1:10" x14ac:dyDescent="0.25">
      <c r="A67" s="3" t="s">
        <v>78</v>
      </c>
      <c r="B67" s="1" t="s">
        <v>180</v>
      </c>
      <c r="C67" s="9"/>
      <c r="D67" s="9"/>
      <c r="E67" s="9"/>
      <c r="F67" s="9"/>
      <c r="G67" s="9"/>
      <c r="H67" s="9"/>
      <c r="I67" s="10"/>
      <c r="J67" s="10"/>
    </row>
    <row r="68" spans="1:10" x14ac:dyDescent="0.25">
      <c r="A68" s="3" t="s">
        <v>71</v>
      </c>
      <c r="B68" s="1" t="s">
        <v>80</v>
      </c>
      <c r="C68" s="9"/>
      <c r="D68" s="9"/>
      <c r="E68" s="9"/>
      <c r="F68" s="9"/>
      <c r="G68" s="9"/>
      <c r="H68" s="9"/>
      <c r="I68" s="10"/>
      <c r="J68" s="10"/>
    </row>
    <row r="69" spans="1:10" x14ac:dyDescent="0.25">
      <c r="A69" s="3" t="s">
        <v>72</v>
      </c>
      <c r="B69" s="1" t="s">
        <v>81</v>
      </c>
      <c r="C69" s="9"/>
      <c r="D69" s="9"/>
      <c r="E69" s="9"/>
      <c r="F69" s="9"/>
      <c r="G69" s="9"/>
      <c r="H69" s="9"/>
      <c r="I69" s="10"/>
      <c r="J69" s="10"/>
    </row>
    <row r="70" spans="1:10" x14ac:dyDescent="0.25">
      <c r="A70" s="3" t="s">
        <v>73</v>
      </c>
      <c r="B70" s="1" t="s">
        <v>82</v>
      </c>
      <c r="C70" s="9"/>
      <c r="D70" s="9"/>
      <c r="E70" s="9"/>
      <c r="F70" s="9"/>
      <c r="G70" s="9"/>
      <c r="H70" s="9"/>
      <c r="I70" s="10"/>
      <c r="J70" s="10"/>
    </row>
    <row r="71" spans="1:10" x14ac:dyDescent="0.25">
      <c r="C71" s="9"/>
      <c r="D71" s="9"/>
      <c r="E71" s="9"/>
      <c r="F71" s="9"/>
      <c r="G71" s="9"/>
      <c r="H71" s="9"/>
      <c r="I71" s="10"/>
      <c r="J71" s="10"/>
    </row>
    <row r="72" spans="1:10" x14ac:dyDescent="0.25">
      <c r="C72" s="9"/>
      <c r="D72" s="9"/>
      <c r="E72" s="9"/>
      <c r="F72" s="9"/>
      <c r="G72" s="9"/>
      <c r="H72" s="9"/>
      <c r="I72" s="10"/>
      <c r="J72" s="10"/>
    </row>
  </sheetData>
  <mergeCells count="19">
    <mergeCell ref="C7:G7"/>
    <mergeCell ref="A39:B39"/>
    <mergeCell ref="A40:B40"/>
    <mergeCell ref="A45:B45"/>
    <mergeCell ref="A46:B46"/>
    <mergeCell ref="J54:J55"/>
    <mergeCell ref="A55:B55"/>
    <mergeCell ref="A59:B59"/>
    <mergeCell ref="A60:B60"/>
    <mergeCell ref="A47:B47"/>
    <mergeCell ref="A48:B48"/>
    <mergeCell ref="A53:B53"/>
    <mergeCell ref="A54:B54"/>
    <mergeCell ref="H54:H55"/>
    <mergeCell ref="A61:B61"/>
    <mergeCell ref="A62:B62"/>
    <mergeCell ref="A63:B63"/>
    <mergeCell ref="A66:B66"/>
    <mergeCell ref="I54:I55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J80"/>
  <sheetViews>
    <sheetView workbookViewId="0">
      <selection activeCell="H5" sqref="H5"/>
    </sheetView>
  </sheetViews>
  <sheetFormatPr defaultRowHeight="15" x14ac:dyDescent="0.25"/>
  <cols>
    <col min="1" max="1" width="28.42578125" bestFit="1" customWidth="1"/>
    <col min="2" max="2" width="59.5703125" bestFit="1" customWidth="1"/>
    <col min="3" max="3" width="12.7109375" bestFit="1" customWidth="1"/>
    <col min="4" max="4" width="28.7109375" bestFit="1" customWidth="1"/>
    <col min="5" max="5" width="13.85546875" bestFit="1" customWidth="1"/>
    <col min="6" max="6" width="8.5703125" bestFit="1" customWidth="1"/>
    <col min="7" max="7" width="47.7109375" bestFit="1" customWidth="1"/>
    <col min="8" max="9" width="16.7109375" bestFit="1" customWidth="1"/>
    <col min="10" max="10" width="24.42578125" bestFit="1" customWidth="1"/>
  </cols>
  <sheetData>
    <row r="2" spans="1:10" ht="18.75" x14ac:dyDescent="0.3">
      <c r="A2" s="3" t="s">
        <v>0</v>
      </c>
      <c r="B2" s="4" t="s">
        <v>181</v>
      </c>
    </row>
    <row r="3" spans="1:10" x14ac:dyDescent="0.25">
      <c r="A3" s="3" t="s">
        <v>2</v>
      </c>
      <c r="B3" s="1" t="s">
        <v>3</v>
      </c>
    </row>
    <row r="4" spans="1:10" x14ac:dyDescent="0.25">
      <c r="A4" s="3" t="s">
        <v>4</v>
      </c>
      <c r="B4" s="20">
        <v>530</v>
      </c>
    </row>
    <row r="7" spans="1:10" x14ac:dyDescent="0.25">
      <c r="C7" s="22" t="s">
        <v>5</v>
      </c>
      <c r="D7" s="21"/>
      <c r="E7" s="21"/>
      <c r="F7" s="21"/>
      <c r="G7" s="21"/>
    </row>
    <row r="8" spans="1:10" x14ac:dyDescent="0.25">
      <c r="A8" s="3" t="s">
        <v>6</v>
      </c>
      <c r="B8" s="3" t="s">
        <v>7</v>
      </c>
      <c r="C8" s="15" t="s">
        <v>8</v>
      </c>
      <c r="D8" s="15" t="s">
        <v>9</v>
      </c>
      <c r="E8" s="15" t="s">
        <v>10</v>
      </c>
      <c r="F8" s="15" t="s">
        <v>11</v>
      </c>
      <c r="G8" s="15" t="s">
        <v>12</v>
      </c>
      <c r="H8" s="15" t="s">
        <v>13</v>
      </c>
      <c r="I8" s="15" t="s">
        <v>14</v>
      </c>
      <c r="J8" s="15" t="s">
        <v>15</v>
      </c>
    </row>
    <row r="9" spans="1:10" x14ac:dyDescent="0.25">
      <c r="A9" s="1" t="s">
        <v>49</v>
      </c>
      <c r="B9" s="1" t="s">
        <v>50</v>
      </c>
      <c r="C9" s="11"/>
      <c r="D9" s="11"/>
      <c r="E9" s="11"/>
      <c r="F9" s="11">
        <v>106</v>
      </c>
      <c r="G9" s="11">
        <f t="shared" ref="G9:G40" si="0">SUM(C9:F9)</f>
        <v>106</v>
      </c>
      <c r="H9" s="17">
        <f t="shared" ref="H9:H40" si="1">ROUND(G9/530,2)</f>
        <v>0.2</v>
      </c>
      <c r="I9" s="16">
        <f t="shared" ref="I9:I40" si="2">ROUND(G9/$G$41,3)</f>
        <v>0</v>
      </c>
      <c r="J9" s="16"/>
    </row>
    <row r="10" spans="1:10" x14ac:dyDescent="0.25">
      <c r="A10" s="1" t="s">
        <v>49</v>
      </c>
      <c r="B10" s="1" t="s">
        <v>52</v>
      </c>
      <c r="C10" s="11"/>
      <c r="D10" s="11"/>
      <c r="E10" s="11"/>
      <c r="F10" s="11"/>
      <c r="G10" s="11">
        <f t="shared" si="0"/>
        <v>0</v>
      </c>
      <c r="H10" s="17">
        <f t="shared" si="1"/>
        <v>0</v>
      </c>
      <c r="I10" s="16">
        <f t="shared" si="2"/>
        <v>0</v>
      </c>
      <c r="J10" s="16"/>
    </row>
    <row r="11" spans="1:10" x14ac:dyDescent="0.25">
      <c r="A11" s="1" t="s">
        <v>16</v>
      </c>
      <c r="B11" s="1" t="s">
        <v>17</v>
      </c>
      <c r="C11" s="11"/>
      <c r="D11" s="11"/>
      <c r="E11" s="11">
        <v>73</v>
      </c>
      <c r="F11" s="11"/>
      <c r="G11" s="11">
        <f t="shared" si="0"/>
        <v>73</v>
      </c>
      <c r="H11" s="17">
        <f t="shared" si="1"/>
        <v>0.14000000000000001</v>
      </c>
      <c r="I11" s="16">
        <f t="shared" si="2"/>
        <v>0</v>
      </c>
      <c r="J11" s="16">
        <f>ROUND(G11/19-1,2)</f>
        <v>2.84</v>
      </c>
    </row>
    <row r="12" spans="1:10" x14ac:dyDescent="0.25">
      <c r="A12" s="1" t="s">
        <v>16</v>
      </c>
      <c r="B12" s="1" t="s">
        <v>19</v>
      </c>
      <c r="C12" s="11">
        <v>20970</v>
      </c>
      <c r="D12" s="11"/>
      <c r="E12" s="11">
        <v>3980</v>
      </c>
      <c r="F12" s="11"/>
      <c r="G12" s="11">
        <f t="shared" si="0"/>
        <v>24950</v>
      </c>
      <c r="H12" s="17">
        <f t="shared" si="1"/>
        <v>47.08</v>
      </c>
      <c r="I12" s="16">
        <f t="shared" si="2"/>
        <v>6.9000000000000006E-2</v>
      </c>
      <c r="J12" s="16">
        <f>ROUND(G12/20835-1,2)</f>
        <v>0.2</v>
      </c>
    </row>
    <row r="13" spans="1:10" x14ac:dyDescent="0.25">
      <c r="A13" s="1" t="s">
        <v>16</v>
      </c>
      <c r="B13" s="1" t="s">
        <v>20</v>
      </c>
      <c r="C13" s="11">
        <v>30710</v>
      </c>
      <c r="D13" s="11"/>
      <c r="E13" s="11"/>
      <c r="F13" s="11"/>
      <c r="G13" s="11">
        <f t="shared" si="0"/>
        <v>30710</v>
      </c>
      <c r="H13" s="17">
        <f t="shared" si="1"/>
        <v>57.94</v>
      </c>
      <c r="I13" s="16">
        <f t="shared" si="2"/>
        <v>8.5000000000000006E-2</v>
      </c>
      <c r="J13" s="16">
        <f>ROUND(G13/24839-1,2)</f>
        <v>0.24</v>
      </c>
    </row>
    <row r="14" spans="1:10" x14ac:dyDescent="0.25">
      <c r="A14" s="1" t="s">
        <v>16</v>
      </c>
      <c r="B14" s="1" t="s">
        <v>21</v>
      </c>
      <c r="C14" s="11"/>
      <c r="D14" s="11"/>
      <c r="E14" s="11">
        <v>22</v>
      </c>
      <c r="F14" s="11"/>
      <c r="G14" s="11">
        <f t="shared" si="0"/>
        <v>22</v>
      </c>
      <c r="H14" s="17">
        <f t="shared" si="1"/>
        <v>0.04</v>
      </c>
      <c r="I14" s="16">
        <f t="shared" si="2"/>
        <v>0</v>
      </c>
      <c r="J14" s="16"/>
    </row>
    <row r="15" spans="1:10" x14ac:dyDescent="0.25">
      <c r="A15" s="1" t="s">
        <v>16</v>
      </c>
      <c r="B15" s="1" t="s">
        <v>22</v>
      </c>
      <c r="C15" s="11"/>
      <c r="D15" s="11"/>
      <c r="E15" s="11">
        <v>477</v>
      </c>
      <c r="F15" s="11"/>
      <c r="G15" s="11">
        <f t="shared" si="0"/>
        <v>477</v>
      </c>
      <c r="H15" s="17">
        <f t="shared" si="1"/>
        <v>0.9</v>
      </c>
      <c r="I15" s="16">
        <f t="shared" si="2"/>
        <v>1E-3</v>
      </c>
      <c r="J15" s="16">
        <f>ROUND(G15/587-1,2)</f>
        <v>-0.19</v>
      </c>
    </row>
    <row r="16" spans="1:10" x14ac:dyDescent="0.25">
      <c r="A16" s="1" t="s">
        <v>16</v>
      </c>
      <c r="B16" s="1" t="s">
        <v>96</v>
      </c>
      <c r="C16" s="11"/>
      <c r="D16" s="11"/>
      <c r="E16" s="11"/>
      <c r="F16" s="11">
        <v>320</v>
      </c>
      <c r="G16" s="11">
        <f t="shared" si="0"/>
        <v>320</v>
      </c>
      <c r="H16" s="17">
        <f t="shared" si="1"/>
        <v>0.6</v>
      </c>
      <c r="I16" s="16">
        <f t="shared" si="2"/>
        <v>1E-3</v>
      </c>
      <c r="J16" s="16"/>
    </row>
    <row r="17" spans="1:10" x14ac:dyDescent="0.25">
      <c r="A17" s="1" t="s">
        <v>16</v>
      </c>
      <c r="B17" s="1" t="s">
        <v>23</v>
      </c>
      <c r="C17" s="11"/>
      <c r="D17" s="11"/>
      <c r="E17" s="11">
        <v>38820</v>
      </c>
      <c r="F17" s="11"/>
      <c r="G17" s="11">
        <f t="shared" si="0"/>
        <v>38820</v>
      </c>
      <c r="H17" s="17">
        <f t="shared" si="1"/>
        <v>73.25</v>
      </c>
      <c r="I17" s="16">
        <f t="shared" si="2"/>
        <v>0.108</v>
      </c>
      <c r="J17" s="16">
        <f>ROUND(G17/35163-1,2)</f>
        <v>0.1</v>
      </c>
    </row>
    <row r="18" spans="1:10" x14ac:dyDescent="0.25">
      <c r="A18" s="1" t="s">
        <v>16</v>
      </c>
      <c r="B18" s="1" t="s">
        <v>24</v>
      </c>
      <c r="C18" s="11">
        <v>26760</v>
      </c>
      <c r="D18" s="11"/>
      <c r="E18" s="11">
        <v>7940</v>
      </c>
      <c r="F18" s="11"/>
      <c r="G18" s="11">
        <f t="shared" si="0"/>
        <v>34700</v>
      </c>
      <c r="H18" s="17">
        <f t="shared" si="1"/>
        <v>65.47</v>
      </c>
      <c r="I18" s="16">
        <f t="shared" si="2"/>
        <v>9.6000000000000002E-2</v>
      </c>
      <c r="J18" s="16">
        <f>ROUND(G18/36795-1,2)</f>
        <v>-0.06</v>
      </c>
    </row>
    <row r="19" spans="1:10" x14ac:dyDescent="0.25">
      <c r="A19" s="1" t="s">
        <v>16</v>
      </c>
      <c r="B19" s="1" t="s">
        <v>25</v>
      </c>
      <c r="C19" s="11"/>
      <c r="D19" s="11"/>
      <c r="E19" s="11">
        <v>1321</v>
      </c>
      <c r="F19" s="11"/>
      <c r="G19" s="11">
        <f t="shared" si="0"/>
        <v>1321</v>
      </c>
      <c r="H19" s="17">
        <f t="shared" si="1"/>
        <v>2.4900000000000002</v>
      </c>
      <c r="I19" s="16">
        <f t="shared" si="2"/>
        <v>4.0000000000000001E-3</v>
      </c>
      <c r="J19" s="16">
        <f>ROUND(G19/1538-1,2)</f>
        <v>-0.14000000000000001</v>
      </c>
    </row>
    <row r="20" spans="1:10" x14ac:dyDescent="0.25">
      <c r="A20" s="1" t="s">
        <v>16</v>
      </c>
      <c r="B20" s="1" t="s">
        <v>26</v>
      </c>
      <c r="C20" s="11">
        <v>21450</v>
      </c>
      <c r="D20" s="11"/>
      <c r="E20" s="11"/>
      <c r="F20" s="11"/>
      <c r="G20" s="11">
        <f t="shared" si="0"/>
        <v>21450</v>
      </c>
      <c r="H20" s="17">
        <f t="shared" si="1"/>
        <v>40.47</v>
      </c>
      <c r="I20" s="16">
        <f t="shared" si="2"/>
        <v>0.06</v>
      </c>
      <c r="J20" s="16">
        <f>ROUND(G20/25930-1,2)</f>
        <v>-0.17</v>
      </c>
    </row>
    <row r="21" spans="1:10" x14ac:dyDescent="0.25">
      <c r="A21" s="1" t="s">
        <v>16</v>
      </c>
      <c r="B21" s="1" t="s">
        <v>27</v>
      </c>
      <c r="C21" s="11"/>
      <c r="D21" s="11"/>
      <c r="E21" s="11">
        <v>452</v>
      </c>
      <c r="F21" s="11"/>
      <c r="G21" s="11">
        <f t="shared" si="0"/>
        <v>452</v>
      </c>
      <c r="H21" s="17">
        <f t="shared" si="1"/>
        <v>0.85</v>
      </c>
      <c r="I21" s="16">
        <f t="shared" si="2"/>
        <v>1E-3</v>
      </c>
      <c r="J21" s="16">
        <f>ROUND(G21/457-1,2)</f>
        <v>-0.01</v>
      </c>
    </row>
    <row r="22" spans="1:10" x14ac:dyDescent="0.25">
      <c r="A22" s="1" t="s">
        <v>16</v>
      </c>
      <c r="B22" s="1" t="s">
        <v>28</v>
      </c>
      <c r="C22" s="11"/>
      <c r="D22" s="11"/>
      <c r="E22" s="11">
        <v>131</v>
      </c>
      <c r="F22" s="11"/>
      <c r="G22" s="11">
        <f t="shared" si="0"/>
        <v>131</v>
      </c>
      <c r="H22" s="17">
        <f t="shared" si="1"/>
        <v>0.25</v>
      </c>
      <c r="I22" s="16">
        <f t="shared" si="2"/>
        <v>0</v>
      </c>
      <c r="J22" s="16">
        <f>ROUND(G22/155-1,2)</f>
        <v>-0.15</v>
      </c>
    </row>
    <row r="23" spans="1:10" x14ac:dyDescent="0.25">
      <c r="A23" s="1" t="s">
        <v>16</v>
      </c>
      <c r="B23" s="1" t="s">
        <v>29</v>
      </c>
      <c r="C23" s="11"/>
      <c r="D23" s="11"/>
      <c r="E23" s="11">
        <v>51</v>
      </c>
      <c r="F23" s="11"/>
      <c r="G23" s="11">
        <f t="shared" si="0"/>
        <v>51</v>
      </c>
      <c r="H23" s="17">
        <f t="shared" si="1"/>
        <v>0.1</v>
      </c>
      <c r="I23" s="16">
        <f t="shared" si="2"/>
        <v>0</v>
      </c>
      <c r="J23" s="16">
        <f>ROUND(G23/50-1,2)</f>
        <v>0.02</v>
      </c>
    </row>
    <row r="24" spans="1:10" x14ac:dyDescent="0.25">
      <c r="A24" s="1" t="s">
        <v>16</v>
      </c>
      <c r="B24" s="1" t="s">
        <v>30</v>
      </c>
      <c r="C24" s="11"/>
      <c r="D24" s="11"/>
      <c r="E24" s="11">
        <v>2569</v>
      </c>
      <c r="F24" s="11"/>
      <c r="G24" s="11">
        <f t="shared" si="0"/>
        <v>2569</v>
      </c>
      <c r="H24" s="17">
        <f t="shared" si="1"/>
        <v>4.8499999999999996</v>
      </c>
      <c r="I24" s="16">
        <f t="shared" si="2"/>
        <v>7.0000000000000001E-3</v>
      </c>
      <c r="J24" s="16">
        <f>ROUND(G24/1397-1,2)</f>
        <v>0.84</v>
      </c>
    </row>
    <row r="25" spans="1:10" x14ac:dyDescent="0.25">
      <c r="A25" s="1" t="s">
        <v>16</v>
      </c>
      <c r="B25" s="1" t="s">
        <v>31</v>
      </c>
      <c r="C25" s="11"/>
      <c r="D25" s="11"/>
      <c r="E25" s="11">
        <v>411</v>
      </c>
      <c r="F25" s="11"/>
      <c r="G25" s="11">
        <f t="shared" si="0"/>
        <v>411</v>
      </c>
      <c r="H25" s="17">
        <f t="shared" si="1"/>
        <v>0.78</v>
      </c>
      <c r="I25" s="16">
        <f t="shared" si="2"/>
        <v>1E-3</v>
      </c>
      <c r="J25" s="16">
        <f>ROUND(G25/282-1,2)</f>
        <v>0.46</v>
      </c>
    </row>
    <row r="26" spans="1:10" x14ac:dyDescent="0.25">
      <c r="A26" s="1" t="s">
        <v>16</v>
      </c>
      <c r="B26" s="1" t="s">
        <v>33</v>
      </c>
      <c r="C26" s="11"/>
      <c r="D26" s="11"/>
      <c r="E26" s="11">
        <v>524</v>
      </c>
      <c r="F26" s="11"/>
      <c r="G26" s="11">
        <f t="shared" si="0"/>
        <v>524</v>
      </c>
      <c r="H26" s="17">
        <f t="shared" si="1"/>
        <v>0.99</v>
      </c>
      <c r="I26" s="16">
        <f t="shared" si="2"/>
        <v>1E-3</v>
      </c>
      <c r="J26" s="16">
        <f>ROUND(G26/286-1,2)</f>
        <v>0.83</v>
      </c>
    </row>
    <row r="27" spans="1:10" x14ac:dyDescent="0.25">
      <c r="A27" s="1" t="s">
        <v>16</v>
      </c>
      <c r="B27" s="1" t="s">
        <v>34</v>
      </c>
      <c r="C27" s="11"/>
      <c r="D27" s="11"/>
      <c r="E27" s="11">
        <v>18</v>
      </c>
      <c r="F27" s="11"/>
      <c r="G27" s="11">
        <f t="shared" si="0"/>
        <v>18</v>
      </c>
      <c r="H27" s="17">
        <f t="shared" si="1"/>
        <v>0.03</v>
      </c>
      <c r="I27" s="16">
        <f t="shared" si="2"/>
        <v>0</v>
      </c>
      <c r="J27" s="16">
        <f>ROUND(G27/59-1,2)</f>
        <v>-0.69</v>
      </c>
    </row>
    <row r="28" spans="1:10" x14ac:dyDescent="0.25">
      <c r="A28" s="1" t="s">
        <v>16</v>
      </c>
      <c r="B28" s="1" t="s">
        <v>35</v>
      </c>
      <c r="C28" s="11"/>
      <c r="D28" s="11"/>
      <c r="E28" s="11">
        <v>669</v>
      </c>
      <c r="F28" s="11"/>
      <c r="G28" s="11">
        <f t="shared" si="0"/>
        <v>669</v>
      </c>
      <c r="H28" s="17">
        <f t="shared" si="1"/>
        <v>1.26</v>
      </c>
      <c r="I28" s="16">
        <f t="shared" si="2"/>
        <v>2E-3</v>
      </c>
      <c r="J28" s="16"/>
    </row>
    <row r="29" spans="1:10" x14ac:dyDescent="0.25">
      <c r="A29" s="1" t="s">
        <v>16</v>
      </c>
      <c r="B29" s="1" t="s">
        <v>37</v>
      </c>
      <c r="C29" s="11"/>
      <c r="D29" s="11"/>
      <c r="E29" s="11">
        <v>903</v>
      </c>
      <c r="F29" s="11"/>
      <c r="G29" s="11">
        <f t="shared" si="0"/>
        <v>903</v>
      </c>
      <c r="H29" s="17">
        <f t="shared" si="1"/>
        <v>1.7</v>
      </c>
      <c r="I29" s="16">
        <f t="shared" si="2"/>
        <v>3.0000000000000001E-3</v>
      </c>
      <c r="J29" s="16">
        <f>ROUND(G29/782-1,2)</f>
        <v>0.15</v>
      </c>
    </row>
    <row r="30" spans="1:10" x14ac:dyDescent="0.25">
      <c r="A30" s="1" t="s">
        <v>16</v>
      </c>
      <c r="B30" s="1" t="s">
        <v>39</v>
      </c>
      <c r="C30" s="11"/>
      <c r="D30" s="11"/>
      <c r="E30" s="11">
        <v>2972</v>
      </c>
      <c r="F30" s="11"/>
      <c r="G30" s="11">
        <f t="shared" si="0"/>
        <v>2972</v>
      </c>
      <c r="H30" s="17">
        <f t="shared" si="1"/>
        <v>5.61</v>
      </c>
      <c r="I30" s="16">
        <f t="shared" si="2"/>
        <v>8.0000000000000002E-3</v>
      </c>
      <c r="J30" s="16">
        <f>ROUND(G30/2495-1,2)</f>
        <v>0.19</v>
      </c>
    </row>
    <row r="31" spans="1:10" x14ac:dyDescent="0.25">
      <c r="A31" s="1" t="s">
        <v>16</v>
      </c>
      <c r="B31" s="1" t="s">
        <v>38</v>
      </c>
      <c r="C31" s="11"/>
      <c r="D31" s="11"/>
      <c r="E31" s="11">
        <v>3218</v>
      </c>
      <c r="F31" s="11"/>
      <c r="G31" s="11">
        <f t="shared" si="0"/>
        <v>3218</v>
      </c>
      <c r="H31" s="17">
        <f t="shared" si="1"/>
        <v>6.07</v>
      </c>
      <c r="I31" s="16">
        <f t="shared" si="2"/>
        <v>8.9999999999999993E-3</v>
      </c>
      <c r="J31" s="16">
        <f>ROUND(G31/3384-1,2)</f>
        <v>-0.05</v>
      </c>
    </row>
    <row r="32" spans="1:10" x14ac:dyDescent="0.25">
      <c r="A32" s="1" t="s">
        <v>16</v>
      </c>
      <c r="B32" s="1" t="s">
        <v>40</v>
      </c>
      <c r="C32" s="11"/>
      <c r="D32" s="11"/>
      <c r="E32" s="11">
        <v>22857</v>
      </c>
      <c r="F32" s="11"/>
      <c r="G32" s="11">
        <f t="shared" si="0"/>
        <v>22857</v>
      </c>
      <c r="H32" s="17">
        <f t="shared" si="1"/>
        <v>43.13</v>
      </c>
      <c r="I32" s="16">
        <f t="shared" si="2"/>
        <v>6.4000000000000001E-2</v>
      </c>
      <c r="J32" s="16">
        <f>ROUND(G32/19109-1,2)</f>
        <v>0.2</v>
      </c>
    </row>
    <row r="33" spans="1:10" x14ac:dyDescent="0.25">
      <c r="A33" s="1" t="s">
        <v>16</v>
      </c>
      <c r="B33" s="1" t="s">
        <v>42</v>
      </c>
      <c r="C33" s="11"/>
      <c r="D33" s="11"/>
      <c r="E33" s="11">
        <v>9159</v>
      </c>
      <c r="F33" s="11"/>
      <c r="G33" s="11">
        <f t="shared" si="0"/>
        <v>9159</v>
      </c>
      <c r="H33" s="17">
        <f t="shared" si="1"/>
        <v>17.28</v>
      </c>
      <c r="I33" s="16">
        <f t="shared" si="2"/>
        <v>2.5000000000000001E-2</v>
      </c>
      <c r="J33" s="16">
        <f>ROUND(G33/6970-1,2)</f>
        <v>0.31</v>
      </c>
    </row>
    <row r="34" spans="1:10" x14ac:dyDescent="0.25">
      <c r="A34" s="1" t="s">
        <v>16</v>
      </c>
      <c r="B34" s="1" t="s">
        <v>44</v>
      </c>
      <c r="C34" s="11"/>
      <c r="D34" s="11"/>
      <c r="E34" s="11">
        <v>29028</v>
      </c>
      <c r="F34" s="11"/>
      <c r="G34" s="11">
        <f t="shared" si="0"/>
        <v>29028</v>
      </c>
      <c r="H34" s="17">
        <f t="shared" si="1"/>
        <v>54.77</v>
      </c>
      <c r="I34" s="16">
        <f t="shared" si="2"/>
        <v>8.1000000000000003E-2</v>
      </c>
      <c r="J34" s="16">
        <f>ROUND(G34/12553-1,2)</f>
        <v>1.31</v>
      </c>
    </row>
    <row r="35" spans="1:10" x14ac:dyDescent="0.25">
      <c r="A35" s="1" t="s">
        <v>16</v>
      </c>
      <c r="B35" s="1" t="s">
        <v>36</v>
      </c>
      <c r="C35" s="11"/>
      <c r="D35" s="11"/>
      <c r="E35" s="11"/>
      <c r="F35" s="11"/>
      <c r="G35" s="11">
        <f t="shared" si="0"/>
        <v>0</v>
      </c>
      <c r="H35" s="17">
        <f t="shared" si="1"/>
        <v>0</v>
      </c>
      <c r="I35" s="16">
        <f t="shared" si="2"/>
        <v>0</v>
      </c>
      <c r="J35" s="16">
        <f>ROUND(G35/106-1,2)</f>
        <v>-1</v>
      </c>
    </row>
    <row r="36" spans="1:10" x14ac:dyDescent="0.25">
      <c r="A36" s="1" t="s">
        <v>16</v>
      </c>
      <c r="B36" s="1" t="s">
        <v>32</v>
      </c>
      <c r="C36" s="11"/>
      <c r="D36" s="11"/>
      <c r="E36" s="11"/>
      <c r="F36" s="11"/>
      <c r="G36" s="11">
        <f t="shared" si="0"/>
        <v>0</v>
      </c>
      <c r="H36" s="17">
        <f t="shared" si="1"/>
        <v>0</v>
      </c>
      <c r="I36" s="16">
        <f t="shared" si="2"/>
        <v>0</v>
      </c>
      <c r="J36" s="16"/>
    </row>
    <row r="37" spans="1:10" x14ac:dyDescent="0.25">
      <c r="A37" s="1" t="s">
        <v>16</v>
      </c>
      <c r="B37" s="1" t="s">
        <v>41</v>
      </c>
      <c r="C37" s="11"/>
      <c r="D37" s="11"/>
      <c r="E37" s="11"/>
      <c r="F37" s="11"/>
      <c r="G37" s="11">
        <f t="shared" si="0"/>
        <v>0</v>
      </c>
      <c r="H37" s="17">
        <f t="shared" si="1"/>
        <v>0</v>
      </c>
      <c r="I37" s="16">
        <f t="shared" si="2"/>
        <v>0</v>
      </c>
      <c r="J37" s="16"/>
    </row>
    <row r="38" spans="1:10" x14ac:dyDescent="0.25">
      <c r="A38" s="1" t="s">
        <v>45</v>
      </c>
      <c r="B38" s="1" t="s">
        <v>46</v>
      </c>
      <c r="C38" s="11">
        <v>93730</v>
      </c>
      <c r="D38" s="11"/>
      <c r="E38" s="11"/>
      <c r="F38" s="11"/>
      <c r="G38" s="11">
        <f t="shared" si="0"/>
        <v>93730</v>
      </c>
      <c r="H38" s="17">
        <f t="shared" si="1"/>
        <v>176.85</v>
      </c>
      <c r="I38" s="16">
        <f t="shared" si="2"/>
        <v>0.26</v>
      </c>
      <c r="J38" s="16">
        <f>ROUND(G38/69640-1,2)</f>
        <v>0.35</v>
      </c>
    </row>
    <row r="39" spans="1:10" x14ac:dyDescent="0.25">
      <c r="A39" s="1" t="s">
        <v>45</v>
      </c>
      <c r="B39" s="1" t="s">
        <v>48</v>
      </c>
      <c r="C39" s="11"/>
      <c r="D39" s="11"/>
      <c r="E39" s="11"/>
      <c r="F39" s="11">
        <v>17835</v>
      </c>
      <c r="G39" s="11">
        <f t="shared" si="0"/>
        <v>17835</v>
      </c>
      <c r="H39" s="17">
        <f t="shared" si="1"/>
        <v>33.65</v>
      </c>
      <c r="I39" s="16">
        <f t="shared" si="2"/>
        <v>0.05</v>
      </c>
      <c r="J39" s="16">
        <f>ROUND(G39/7300-1,2)</f>
        <v>1.44</v>
      </c>
    </row>
    <row r="40" spans="1:10" x14ac:dyDescent="0.25">
      <c r="A40" s="1" t="s">
        <v>45</v>
      </c>
      <c r="B40" s="1" t="s">
        <v>47</v>
      </c>
      <c r="C40" s="11"/>
      <c r="D40" s="11"/>
      <c r="E40" s="11">
        <v>22472</v>
      </c>
      <c r="F40" s="11"/>
      <c r="G40" s="11">
        <f t="shared" si="0"/>
        <v>22472</v>
      </c>
      <c r="H40" s="17">
        <f t="shared" si="1"/>
        <v>42.4</v>
      </c>
      <c r="I40" s="16">
        <f t="shared" si="2"/>
        <v>6.2E-2</v>
      </c>
      <c r="J40" s="16">
        <f>ROUND(G40/20055-1,2)</f>
        <v>0.12</v>
      </c>
    </row>
    <row r="41" spans="1:10" x14ac:dyDescent="0.25">
      <c r="A41" s="26" t="s">
        <v>12</v>
      </c>
      <c r="B41" s="26"/>
      <c r="C41" s="12">
        <f t="shared" ref="C41:H41" si="3">SUM(C8:C40)</f>
        <v>193620</v>
      </c>
      <c r="D41" s="12">
        <f t="shared" si="3"/>
        <v>0</v>
      </c>
      <c r="E41" s="12">
        <f t="shared" si="3"/>
        <v>148067</v>
      </c>
      <c r="F41" s="12">
        <f t="shared" si="3"/>
        <v>18261</v>
      </c>
      <c r="G41" s="12">
        <f t="shared" si="3"/>
        <v>359948</v>
      </c>
      <c r="H41" s="15">
        <f t="shared" si="3"/>
        <v>679.15</v>
      </c>
      <c r="I41" s="18"/>
      <c r="J41" s="18"/>
    </row>
    <row r="42" spans="1:10" x14ac:dyDescent="0.25">
      <c r="A42" s="26" t="s">
        <v>14</v>
      </c>
      <c r="B42" s="26"/>
      <c r="C42" s="13">
        <f>ROUND(C41/G41,2)</f>
        <v>0.54</v>
      </c>
      <c r="D42" s="13">
        <f>ROUND(D41/G41,2)</f>
        <v>0</v>
      </c>
      <c r="E42" s="13">
        <f>ROUND(E41/G41,2)</f>
        <v>0.41</v>
      </c>
      <c r="F42" s="13">
        <f>ROUND(F41/G41,2)</f>
        <v>0.05</v>
      </c>
      <c r="G42" s="14"/>
      <c r="H42" s="14"/>
      <c r="I42" s="18"/>
      <c r="J42" s="18"/>
    </row>
    <row r="43" spans="1:10" x14ac:dyDescent="0.25">
      <c r="A43" s="2" t="s">
        <v>53</v>
      </c>
      <c r="B43" s="2"/>
      <c r="C43" s="14"/>
      <c r="D43" s="14"/>
      <c r="E43" s="14"/>
      <c r="F43" s="14"/>
      <c r="G43" s="14"/>
      <c r="H43" s="14"/>
      <c r="I43" s="18"/>
      <c r="J43" s="18"/>
    </row>
    <row r="44" spans="1:10" x14ac:dyDescent="0.25">
      <c r="C44" s="9"/>
      <c r="D44" s="9"/>
      <c r="E44" s="9"/>
      <c r="F44" s="9"/>
      <c r="G44" s="9"/>
      <c r="H44" s="9"/>
      <c r="I44" s="10"/>
      <c r="J44" s="10"/>
    </row>
    <row r="45" spans="1:10" x14ac:dyDescent="0.25">
      <c r="C45" s="9"/>
      <c r="D45" s="9"/>
      <c r="E45" s="9"/>
      <c r="F45" s="9"/>
      <c r="G45" s="9"/>
      <c r="H45" s="9"/>
      <c r="I45" s="10"/>
      <c r="J45" s="10"/>
    </row>
    <row r="46" spans="1:10" x14ac:dyDescent="0.25">
      <c r="C46" s="9"/>
      <c r="D46" s="9"/>
      <c r="E46" s="9"/>
      <c r="F46" s="9"/>
      <c r="G46" s="9"/>
      <c r="H46" s="9"/>
      <c r="I46" s="10"/>
      <c r="J46" s="10"/>
    </row>
    <row r="47" spans="1:10" x14ac:dyDescent="0.25">
      <c r="A47" s="26" t="s">
        <v>54</v>
      </c>
      <c r="B47" s="26"/>
      <c r="C47" s="12" t="s">
        <v>8</v>
      </c>
      <c r="D47" s="12" t="s">
        <v>9</v>
      </c>
      <c r="E47" s="12" t="s">
        <v>10</v>
      </c>
      <c r="F47" s="12" t="s">
        <v>11</v>
      </c>
      <c r="G47" s="12" t="s">
        <v>12</v>
      </c>
      <c r="H47" s="15" t="s">
        <v>13</v>
      </c>
      <c r="I47" s="18"/>
      <c r="J47" s="18"/>
    </row>
    <row r="48" spans="1:10" x14ac:dyDescent="0.25">
      <c r="A48" s="21" t="s">
        <v>55</v>
      </c>
      <c r="B48" s="21"/>
      <c r="C48" s="11">
        <v>99890</v>
      </c>
      <c r="D48" s="11">
        <v>0</v>
      </c>
      <c r="E48" s="11">
        <v>125595</v>
      </c>
      <c r="F48" s="11">
        <v>320</v>
      </c>
      <c r="G48" s="11">
        <f>SUM(C48:F48)</f>
        <v>225805</v>
      </c>
      <c r="H48" s="17">
        <f>ROUND(G48/530,2)</f>
        <v>426.05</v>
      </c>
      <c r="I48" s="10"/>
      <c r="J48" s="10"/>
    </row>
    <row r="49" spans="1:10" x14ac:dyDescent="0.25">
      <c r="A49" s="21" t="s">
        <v>56</v>
      </c>
      <c r="B49" s="21"/>
      <c r="C49" s="11">
        <v>93730</v>
      </c>
      <c r="D49" s="11">
        <v>0</v>
      </c>
      <c r="E49" s="11">
        <v>22472</v>
      </c>
      <c r="F49" s="11">
        <v>17835</v>
      </c>
      <c r="G49" s="11">
        <f>SUM(C49:F49)</f>
        <v>134037</v>
      </c>
      <c r="H49" s="17">
        <f>ROUND(G49/530,2)</f>
        <v>252.9</v>
      </c>
      <c r="I49" s="10"/>
      <c r="J49" s="10"/>
    </row>
    <row r="50" spans="1:10" x14ac:dyDescent="0.25">
      <c r="A50" s="21" t="s">
        <v>57</v>
      </c>
      <c r="B50" s="21"/>
      <c r="C50" s="11">
        <v>0</v>
      </c>
      <c r="D50" s="11">
        <v>0</v>
      </c>
      <c r="E50" s="11">
        <v>0</v>
      </c>
      <c r="F50" s="11">
        <v>106</v>
      </c>
      <c r="G50" s="11">
        <f>SUM(C50:F50)</f>
        <v>106</v>
      </c>
      <c r="H50" s="17">
        <f>ROUND(G50/530,2)</f>
        <v>0.2</v>
      </c>
      <c r="I50" s="10"/>
      <c r="J50" s="10"/>
    </row>
    <row r="51" spans="1:10" x14ac:dyDescent="0.25">
      <c r="C51" s="9"/>
      <c r="D51" s="9"/>
      <c r="E51" s="9"/>
      <c r="F51" s="9"/>
      <c r="G51" s="9"/>
      <c r="H51" s="9"/>
      <c r="I51" s="10"/>
      <c r="J51" s="10"/>
    </row>
    <row r="52" spans="1:10" x14ac:dyDescent="0.25">
      <c r="C52" s="9"/>
      <c r="D52" s="9"/>
      <c r="E52" s="9"/>
      <c r="F52" s="9"/>
      <c r="G52" s="9"/>
      <c r="H52" s="9"/>
      <c r="I52" s="10"/>
      <c r="J52" s="10"/>
    </row>
    <row r="53" spans="1:10" x14ac:dyDescent="0.25">
      <c r="C53" s="9"/>
      <c r="D53" s="9"/>
      <c r="E53" s="9"/>
      <c r="F53" s="9"/>
      <c r="G53" s="9"/>
      <c r="H53" s="9"/>
      <c r="I53" s="10"/>
      <c r="J53" s="10"/>
    </row>
    <row r="54" spans="1:10" x14ac:dyDescent="0.25">
      <c r="C54" s="9"/>
      <c r="D54" s="9"/>
      <c r="E54" s="9"/>
      <c r="F54" s="9"/>
      <c r="G54" s="9"/>
      <c r="H54" s="9"/>
      <c r="I54" s="10"/>
      <c r="J54" s="10"/>
    </row>
    <row r="55" spans="1:10" x14ac:dyDescent="0.25">
      <c r="A55" s="26" t="s">
        <v>58</v>
      </c>
      <c r="B55" s="26"/>
      <c r="C55" s="15" t="s">
        <v>2</v>
      </c>
      <c r="D55" s="15">
        <v>2024</v>
      </c>
      <c r="E55" s="15" t="s">
        <v>60</v>
      </c>
      <c r="F55" s="14"/>
      <c r="G55" s="15" t="s">
        <v>61</v>
      </c>
      <c r="H55" s="15" t="s">
        <v>2</v>
      </c>
      <c r="I55" s="13" t="s">
        <v>62</v>
      </c>
      <c r="J55" s="13" t="s">
        <v>60</v>
      </c>
    </row>
    <row r="56" spans="1:10" x14ac:dyDescent="0.25">
      <c r="A56" s="21" t="s">
        <v>59</v>
      </c>
      <c r="B56" s="21"/>
      <c r="C56" s="16">
        <f>ROUND(0.7077, 4)</f>
        <v>0.7077</v>
      </c>
      <c r="D56" s="16">
        <f>ROUND(0.7151, 4)</f>
        <v>0.71509999999999996</v>
      </c>
      <c r="E56" s="16">
        <f>ROUND(0.7856, 4)</f>
        <v>0.78559999999999997</v>
      </c>
      <c r="F56" s="9"/>
      <c r="G56" s="15" t="s">
        <v>63</v>
      </c>
      <c r="H56" s="27" t="s">
        <v>64</v>
      </c>
      <c r="I56" s="24" t="s">
        <v>65</v>
      </c>
      <c r="J56" s="24" t="s">
        <v>66</v>
      </c>
    </row>
    <row r="57" spans="1:10" x14ac:dyDescent="0.25">
      <c r="A57" s="21" t="s">
        <v>67</v>
      </c>
      <c r="B57" s="21"/>
      <c r="C57" s="16">
        <f>ROUND(0.7077, 4)</f>
        <v>0.7077</v>
      </c>
      <c r="D57" s="16">
        <f>ROUND(0.6844, 4)</f>
        <v>0.68440000000000001</v>
      </c>
      <c r="E57" s="16">
        <f>ROUND(0.7702, 4)</f>
        <v>0.7702</v>
      </c>
      <c r="F57" s="9"/>
      <c r="G57" s="15" t="s">
        <v>68</v>
      </c>
      <c r="H57" s="28"/>
      <c r="I57" s="25"/>
      <c r="J57" s="25"/>
    </row>
    <row r="58" spans="1:10" x14ac:dyDescent="0.25">
      <c r="C58" s="9"/>
      <c r="D58" s="9"/>
      <c r="E58" s="9"/>
      <c r="F58" s="9"/>
      <c r="G58" s="9"/>
      <c r="H58" s="9"/>
      <c r="I58" s="10"/>
      <c r="J58" s="10"/>
    </row>
    <row r="59" spans="1:10" x14ac:dyDescent="0.25">
      <c r="C59" s="9"/>
      <c r="D59" s="9"/>
      <c r="E59" s="9"/>
      <c r="F59" s="9"/>
      <c r="G59" s="9"/>
      <c r="H59" s="9"/>
      <c r="I59" s="10"/>
      <c r="J59" s="10"/>
    </row>
    <row r="60" spans="1:10" x14ac:dyDescent="0.25">
      <c r="C60" s="9"/>
      <c r="D60" s="9"/>
      <c r="E60" s="9"/>
      <c r="F60" s="9"/>
      <c r="G60" s="9"/>
      <c r="H60" s="9"/>
      <c r="I60" s="10"/>
      <c r="J60" s="10"/>
    </row>
    <row r="61" spans="1:10" x14ac:dyDescent="0.25">
      <c r="A61" s="26" t="s">
        <v>69</v>
      </c>
      <c r="B61" s="26"/>
      <c r="C61" s="15" t="s">
        <v>2</v>
      </c>
      <c r="D61" s="15" t="s">
        <v>182</v>
      </c>
      <c r="E61" s="15" t="s">
        <v>71</v>
      </c>
      <c r="F61" s="15" t="s">
        <v>72</v>
      </c>
      <c r="G61" s="15" t="s">
        <v>73</v>
      </c>
      <c r="H61" s="14"/>
      <c r="I61" s="18"/>
      <c r="J61" s="18"/>
    </row>
    <row r="62" spans="1:10" x14ac:dyDescent="0.25">
      <c r="A62" s="21" t="s">
        <v>74</v>
      </c>
      <c r="B62" s="21"/>
      <c r="C62" s="17">
        <v>176.85</v>
      </c>
      <c r="D62" s="17">
        <v>126.14</v>
      </c>
      <c r="E62" s="17">
        <v>96.15</v>
      </c>
      <c r="F62" s="17">
        <v>57.94</v>
      </c>
      <c r="G62" s="17">
        <f>12/12*C62</f>
        <v>176.85</v>
      </c>
      <c r="H62" s="9"/>
      <c r="I62" s="10"/>
      <c r="J62" s="10"/>
    </row>
    <row r="63" spans="1:10" x14ac:dyDescent="0.25">
      <c r="A63" s="21" t="s">
        <v>75</v>
      </c>
      <c r="B63" s="21"/>
      <c r="C63" s="17">
        <v>40.47</v>
      </c>
      <c r="D63" s="17">
        <v>49.2</v>
      </c>
      <c r="E63" s="17">
        <v>62.28</v>
      </c>
      <c r="F63" s="17">
        <v>66.599999999999994</v>
      </c>
      <c r="G63" s="17">
        <f>12/12*C63</f>
        <v>40.47</v>
      </c>
      <c r="H63" s="9"/>
      <c r="I63" s="10"/>
      <c r="J63" s="10"/>
    </row>
    <row r="64" spans="1:10" x14ac:dyDescent="0.25">
      <c r="A64" s="21" t="s">
        <v>76</v>
      </c>
      <c r="B64" s="21"/>
      <c r="C64" s="17">
        <v>426.05</v>
      </c>
      <c r="D64" s="17">
        <v>293.70999999999998</v>
      </c>
      <c r="E64" s="17">
        <v>300.02</v>
      </c>
      <c r="F64" s="17">
        <v>295.08</v>
      </c>
      <c r="G64" s="17">
        <f>12/12*C64</f>
        <v>426.05</v>
      </c>
      <c r="H64" s="9"/>
      <c r="I64" s="10"/>
      <c r="J64" s="10"/>
    </row>
    <row r="65" spans="1:10" x14ac:dyDescent="0.25">
      <c r="A65" s="21" t="s">
        <v>77</v>
      </c>
      <c r="B65" s="21"/>
      <c r="C65" s="17">
        <v>252.9</v>
      </c>
      <c r="D65" s="17">
        <v>168.47</v>
      </c>
      <c r="E65" s="17">
        <v>120.96</v>
      </c>
      <c r="F65" s="17">
        <v>83.12</v>
      </c>
      <c r="G65" s="17">
        <f>12/12*C65</f>
        <v>252.9</v>
      </c>
      <c r="H65" s="9"/>
      <c r="I65" s="10"/>
      <c r="J65" s="10"/>
    </row>
    <row r="66" spans="1:10" x14ac:dyDescent="0.25">
      <c r="C66" s="9"/>
      <c r="D66" s="9"/>
      <c r="E66" s="9"/>
      <c r="F66" s="9"/>
      <c r="G66" s="9"/>
      <c r="H66" s="9"/>
      <c r="I66" s="10"/>
      <c r="J66" s="10"/>
    </row>
    <row r="67" spans="1:10" x14ac:dyDescent="0.25">
      <c r="C67" s="9"/>
      <c r="D67" s="9"/>
      <c r="E67" s="9"/>
      <c r="F67" s="9"/>
      <c r="G67" s="9"/>
      <c r="H67" s="9"/>
      <c r="I67" s="10"/>
      <c r="J67" s="10"/>
    </row>
    <row r="68" spans="1:10" x14ac:dyDescent="0.25">
      <c r="A68" s="22" t="s">
        <v>61</v>
      </c>
      <c r="B68" s="23"/>
      <c r="C68" s="9"/>
      <c r="D68" s="9"/>
      <c r="E68" s="9"/>
      <c r="F68" s="9"/>
      <c r="G68" s="9"/>
      <c r="H68" s="9"/>
      <c r="I68" s="10"/>
      <c r="J68" s="10"/>
    </row>
    <row r="69" spans="1:10" x14ac:dyDescent="0.25">
      <c r="A69" s="3" t="s">
        <v>78</v>
      </c>
      <c r="B69" s="1" t="s">
        <v>183</v>
      </c>
      <c r="C69" s="9"/>
      <c r="D69" s="9"/>
      <c r="E69" s="9"/>
      <c r="F69" s="9"/>
      <c r="G69" s="9"/>
      <c r="H69" s="9"/>
      <c r="I69" s="10"/>
      <c r="J69" s="10"/>
    </row>
    <row r="70" spans="1:10" x14ac:dyDescent="0.25">
      <c r="A70" s="3" t="s">
        <v>71</v>
      </c>
      <c r="B70" s="1" t="s">
        <v>80</v>
      </c>
      <c r="C70" s="9"/>
      <c r="D70" s="9"/>
      <c r="E70" s="9"/>
      <c r="F70" s="9"/>
      <c r="G70" s="9"/>
      <c r="H70" s="9"/>
      <c r="I70" s="10"/>
      <c r="J70" s="10"/>
    </row>
    <row r="71" spans="1:10" x14ac:dyDescent="0.25">
      <c r="A71" s="3" t="s">
        <v>72</v>
      </c>
      <c r="B71" s="1" t="s">
        <v>81</v>
      </c>
      <c r="C71" s="9"/>
      <c r="D71" s="9"/>
      <c r="E71" s="9"/>
      <c r="F71" s="9"/>
      <c r="G71" s="9"/>
      <c r="H71" s="9"/>
      <c r="I71" s="10"/>
      <c r="J71" s="10"/>
    </row>
    <row r="72" spans="1:10" x14ac:dyDescent="0.25">
      <c r="A72" s="3" t="s">
        <v>73</v>
      </c>
      <c r="B72" s="1" t="s">
        <v>82</v>
      </c>
      <c r="C72" s="9"/>
      <c r="D72" s="9"/>
      <c r="E72" s="9"/>
      <c r="F72" s="9"/>
      <c r="G72" s="9"/>
      <c r="H72" s="9"/>
      <c r="I72" s="10"/>
      <c r="J72" s="10"/>
    </row>
    <row r="73" spans="1:10" x14ac:dyDescent="0.25">
      <c r="C73" s="9"/>
      <c r="D73" s="9"/>
      <c r="E73" s="9"/>
      <c r="F73" s="9"/>
      <c r="G73" s="9"/>
      <c r="H73" s="9"/>
      <c r="I73" s="10"/>
      <c r="J73" s="10"/>
    </row>
    <row r="74" spans="1:10" x14ac:dyDescent="0.25">
      <c r="C74" s="9"/>
      <c r="D74" s="9"/>
      <c r="E74" s="9"/>
      <c r="F74" s="9"/>
      <c r="G74" s="9"/>
      <c r="H74" s="9"/>
      <c r="I74" s="10"/>
      <c r="J74" s="10"/>
    </row>
    <row r="75" spans="1:10" x14ac:dyDescent="0.25">
      <c r="C75" s="9"/>
      <c r="D75" s="9"/>
      <c r="E75" s="9"/>
      <c r="F75" s="9"/>
      <c r="G75" s="9"/>
      <c r="H75" s="9"/>
      <c r="I75" s="10"/>
      <c r="J75" s="10"/>
    </row>
    <row r="76" spans="1:10" x14ac:dyDescent="0.25">
      <c r="C76" s="9"/>
      <c r="D76" s="9"/>
      <c r="E76" s="9"/>
      <c r="F76" s="9"/>
      <c r="G76" s="9"/>
      <c r="H76" s="9"/>
      <c r="I76" s="10"/>
      <c r="J76" s="10"/>
    </row>
    <row r="77" spans="1:10" x14ac:dyDescent="0.25">
      <c r="C77" s="9"/>
      <c r="D77" s="9"/>
      <c r="E77" s="9"/>
      <c r="F77" s="9"/>
      <c r="G77" s="9"/>
      <c r="H77" s="9"/>
      <c r="I77" s="10"/>
      <c r="J77" s="10"/>
    </row>
    <row r="78" spans="1:10" x14ac:dyDescent="0.25">
      <c r="C78" s="9"/>
      <c r="D78" s="9"/>
      <c r="E78" s="9"/>
      <c r="F78" s="9"/>
      <c r="G78" s="9"/>
      <c r="H78" s="9"/>
      <c r="I78" s="10"/>
      <c r="J78" s="10"/>
    </row>
    <row r="79" spans="1:10" x14ac:dyDescent="0.25">
      <c r="C79" s="9"/>
      <c r="D79" s="9"/>
      <c r="E79" s="9"/>
      <c r="F79" s="9"/>
      <c r="G79" s="9"/>
      <c r="H79" s="9"/>
      <c r="I79" s="10"/>
      <c r="J79" s="10"/>
    </row>
    <row r="80" spans="1:10" x14ac:dyDescent="0.25">
      <c r="C80" s="9"/>
      <c r="D80" s="9"/>
      <c r="E80" s="9"/>
      <c r="F80" s="9"/>
      <c r="G80" s="9"/>
      <c r="H80" s="9"/>
      <c r="I80" s="10"/>
      <c r="J80" s="10"/>
    </row>
  </sheetData>
  <mergeCells count="19">
    <mergeCell ref="C7:G7"/>
    <mergeCell ref="A41:B41"/>
    <mergeCell ref="A42:B42"/>
    <mergeCell ref="A47:B47"/>
    <mergeCell ref="A48:B48"/>
    <mergeCell ref="J56:J57"/>
    <mergeCell ref="A57:B57"/>
    <mergeCell ref="A61:B61"/>
    <mergeCell ref="A62:B62"/>
    <mergeCell ref="A49:B49"/>
    <mergeCell ref="A50:B50"/>
    <mergeCell ref="A55:B55"/>
    <mergeCell ref="A56:B56"/>
    <mergeCell ref="H56:H57"/>
    <mergeCell ref="A63:B63"/>
    <mergeCell ref="A64:B64"/>
    <mergeCell ref="A65:B65"/>
    <mergeCell ref="A68:B68"/>
    <mergeCell ref="I56:I57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J80"/>
  <sheetViews>
    <sheetView workbookViewId="0">
      <selection activeCell="H5" sqref="H5"/>
    </sheetView>
  </sheetViews>
  <sheetFormatPr defaultRowHeight="15" x14ac:dyDescent="0.25"/>
  <cols>
    <col min="1" max="1" width="28.42578125" bestFit="1" customWidth="1"/>
    <col min="2" max="2" width="59.5703125" bestFit="1" customWidth="1"/>
    <col min="3" max="3" width="12.7109375" bestFit="1" customWidth="1"/>
    <col min="4" max="4" width="32.7109375" bestFit="1" customWidth="1"/>
    <col min="5" max="5" width="13.85546875" bestFit="1" customWidth="1"/>
    <col min="6" max="6" width="8.5703125" bestFit="1" customWidth="1"/>
    <col min="7" max="7" width="47.7109375" bestFit="1" customWidth="1"/>
    <col min="8" max="9" width="16.7109375" bestFit="1" customWidth="1"/>
    <col min="10" max="10" width="24.42578125" bestFit="1" customWidth="1"/>
  </cols>
  <sheetData>
    <row r="2" spans="1:10" ht="18.75" x14ac:dyDescent="0.3">
      <c r="A2" s="3" t="s">
        <v>0</v>
      </c>
      <c r="B2" s="4" t="s">
        <v>184</v>
      </c>
    </row>
    <row r="3" spans="1:10" x14ac:dyDescent="0.25">
      <c r="A3" s="3" t="s">
        <v>2</v>
      </c>
      <c r="B3" s="1" t="s">
        <v>3</v>
      </c>
    </row>
    <row r="4" spans="1:10" x14ac:dyDescent="0.25">
      <c r="A4" s="3" t="s">
        <v>4</v>
      </c>
      <c r="B4" s="20">
        <v>10520</v>
      </c>
    </row>
    <row r="7" spans="1:10" x14ac:dyDescent="0.25">
      <c r="C7" s="22" t="s">
        <v>5</v>
      </c>
      <c r="D7" s="21"/>
      <c r="E7" s="21"/>
      <c r="F7" s="21"/>
      <c r="G7" s="21"/>
    </row>
    <row r="8" spans="1:10" x14ac:dyDescent="0.25">
      <c r="A8" s="3" t="s">
        <v>6</v>
      </c>
      <c r="B8" s="3" t="s">
        <v>7</v>
      </c>
      <c r="C8" s="15" t="s">
        <v>8</v>
      </c>
      <c r="D8" s="15" t="s">
        <v>9</v>
      </c>
      <c r="E8" s="15" t="s">
        <v>10</v>
      </c>
      <c r="F8" s="15" t="s">
        <v>11</v>
      </c>
      <c r="G8" s="15" t="s">
        <v>12</v>
      </c>
      <c r="H8" s="15" t="s">
        <v>13</v>
      </c>
      <c r="I8" s="15" t="s">
        <v>14</v>
      </c>
      <c r="J8" s="15" t="s">
        <v>15</v>
      </c>
    </row>
    <row r="9" spans="1:10" x14ac:dyDescent="0.25">
      <c r="A9" s="1" t="s">
        <v>16</v>
      </c>
      <c r="B9" s="1" t="s">
        <v>17</v>
      </c>
      <c r="C9" s="11"/>
      <c r="D9" s="11"/>
      <c r="E9" s="11">
        <v>599</v>
      </c>
      <c r="F9" s="11"/>
      <c r="G9" s="11">
        <f t="shared" ref="G9:G48" si="0">SUM(C9:F9)</f>
        <v>599</v>
      </c>
      <c r="H9" s="17">
        <f t="shared" ref="H9:H48" si="1">ROUND(G9/10520,2)</f>
        <v>0.06</v>
      </c>
      <c r="I9" s="16">
        <f t="shared" ref="I9:I48" si="2">ROUND(G9/$G$49,3)</f>
        <v>0</v>
      </c>
      <c r="J9" s="16">
        <f>ROUND(G9/211-1,2)</f>
        <v>1.84</v>
      </c>
    </row>
    <row r="10" spans="1:10" x14ac:dyDescent="0.25">
      <c r="A10" s="1" t="s">
        <v>16</v>
      </c>
      <c r="B10" s="1" t="s">
        <v>18</v>
      </c>
      <c r="C10" s="11">
        <v>5220</v>
      </c>
      <c r="D10" s="11"/>
      <c r="E10" s="11">
        <v>37560</v>
      </c>
      <c r="F10" s="11">
        <v>15840</v>
      </c>
      <c r="G10" s="11">
        <f t="shared" si="0"/>
        <v>58620</v>
      </c>
      <c r="H10" s="17">
        <f t="shared" si="1"/>
        <v>5.57</v>
      </c>
      <c r="I10" s="16">
        <f t="shared" si="2"/>
        <v>1.2999999999999999E-2</v>
      </c>
      <c r="J10" s="16">
        <f>ROUND(G10/68520-1,2)</f>
        <v>-0.14000000000000001</v>
      </c>
    </row>
    <row r="11" spans="1:10" x14ac:dyDescent="0.25">
      <c r="A11" s="1" t="s">
        <v>16</v>
      </c>
      <c r="B11" s="1" t="s">
        <v>92</v>
      </c>
      <c r="C11" s="11">
        <v>990</v>
      </c>
      <c r="D11" s="11"/>
      <c r="E11" s="11">
        <v>14120</v>
      </c>
      <c r="F11" s="11">
        <v>500</v>
      </c>
      <c r="G11" s="11">
        <f t="shared" si="0"/>
        <v>15610</v>
      </c>
      <c r="H11" s="17">
        <f t="shared" si="1"/>
        <v>1.48</v>
      </c>
      <c r="I11" s="16">
        <f t="shared" si="2"/>
        <v>3.0000000000000001E-3</v>
      </c>
      <c r="J11" s="16">
        <f>ROUND(G11/14650-1,2)</f>
        <v>7.0000000000000007E-2</v>
      </c>
    </row>
    <row r="12" spans="1:10" x14ac:dyDescent="0.25">
      <c r="A12" s="1" t="s">
        <v>16</v>
      </c>
      <c r="B12" s="1" t="s">
        <v>19</v>
      </c>
      <c r="C12" s="11">
        <v>380380</v>
      </c>
      <c r="D12" s="11"/>
      <c r="E12" s="11"/>
      <c r="F12" s="11">
        <v>6020</v>
      </c>
      <c r="G12" s="11">
        <f t="shared" si="0"/>
        <v>386400</v>
      </c>
      <c r="H12" s="17">
        <f t="shared" si="1"/>
        <v>36.729999999999997</v>
      </c>
      <c r="I12" s="16">
        <f t="shared" si="2"/>
        <v>8.5999999999999993E-2</v>
      </c>
      <c r="J12" s="16">
        <f>ROUND(G12/380460-1,2)</f>
        <v>0.02</v>
      </c>
    </row>
    <row r="13" spans="1:10" x14ac:dyDescent="0.25">
      <c r="A13" s="1" t="s">
        <v>16</v>
      </c>
      <c r="B13" s="1" t="s">
        <v>20</v>
      </c>
      <c r="C13" s="11">
        <v>454150</v>
      </c>
      <c r="D13" s="11"/>
      <c r="E13" s="11"/>
      <c r="F13" s="11">
        <v>1560</v>
      </c>
      <c r="G13" s="11">
        <f t="shared" si="0"/>
        <v>455710</v>
      </c>
      <c r="H13" s="17">
        <f t="shared" si="1"/>
        <v>43.32</v>
      </c>
      <c r="I13" s="16">
        <f t="shared" si="2"/>
        <v>0.10100000000000001</v>
      </c>
      <c r="J13" s="16">
        <f>ROUND(G13/445400-1,2)</f>
        <v>0.02</v>
      </c>
    </row>
    <row r="14" spans="1:10" x14ac:dyDescent="0.25">
      <c r="A14" s="1" t="s">
        <v>16</v>
      </c>
      <c r="B14" s="1" t="s">
        <v>87</v>
      </c>
      <c r="C14" s="11"/>
      <c r="D14" s="11"/>
      <c r="E14" s="11">
        <v>298</v>
      </c>
      <c r="F14" s="11"/>
      <c r="G14" s="11">
        <f t="shared" si="0"/>
        <v>298</v>
      </c>
      <c r="H14" s="17">
        <f t="shared" si="1"/>
        <v>0.03</v>
      </c>
      <c r="I14" s="16">
        <f t="shared" si="2"/>
        <v>0</v>
      </c>
      <c r="J14" s="16">
        <f>ROUND(G14/293-1,2)</f>
        <v>0.02</v>
      </c>
    </row>
    <row r="15" spans="1:10" x14ac:dyDescent="0.25">
      <c r="A15" s="1" t="s">
        <v>16</v>
      </c>
      <c r="B15" s="1" t="s">
        <v>21</v>
      </c>
      <c r="C15" s="11"/>
      <c r="D15" s="11"/>
      <c r="E15" s="11">
        <v>1143</v>
      </c>
      <c r="F15" s="11"/>
      <c r="G15" s="11">
        <f t="shared" si="0"/>
        <v>1143</v>
      </c>
      <c r="H15" s="17">
        <f t="shared" si="1"/>
        <v>0.11</v>
      </c>
      <c r="I15" s="16">
        <f t="shared" si="2"/>
        <v>0</v>
      </c>
      <c r="J15" s="16">
        <f>ROUND(G15/1199-1,2)</f>
        <v>-0.05</v>
      </c>
    </row>
    <row r="16" spans="1:10" x14ac:dyDescent="0.25">
      <c r="A16" s="1" t="s">
        <v>16</v>
      </c>
      <c r="B16" s="1" t="s">
        <v>22</v>
      </c>
      <c r="C16" s="11"/>
      <c r="D16" s="11"/>
      <c r="E16" s="11">
        <v>4100</v>
      </c>
      <c r="F16" s="11"/>
      <c r="G16" s="11">
        <f t="shared" si="0"/>
        <v>4100</v>
      </c>
      <c r="H16" s="17">
        <f t="shared" si="1"/>
        <v>0.39</v>
      </c>
      <c r="I16" s="16">
        <f t="shared" si="2"/>
        <v>1E-3</v>
      </c>
      <c r="J16" s="16">
        <f>ROUND(G16/3800-1,2)</f>
        <v>0.08</v>
      </c>
    </row>
    <row r="17" spans="1:10" x14ac:dyDescent="0.25">
      <c r="A17" s="1" t="s">
        <v>16</v>
      </c>
      <c r="B17" s="1" t="s">
        <v>23</v>
      </c>
      <c r="C17" s="11"/>
      <c r="D17" s="11"/>
      <c r="E17" s="11">
        <v>276000</v>
      </c>
      <c r="F17" s="11"/>
      <c r="G17" s="11">
        <f t="shared" si="0"/>
        <v>276000</v>
      </c>
      <c r="H17" s="17">
        <f t="shared" si="1"/>
        <v>26.24</v>
      </c>
      <c r="I17" s="16">
        <f t="shared" si="2"/>
        <v>6.0999999999999999E-2</v>
      </c>
      <c r="J17" s="16">
        <f>ROUND(G17/231350-1,2)</f>
        <v>0.19</v>
      </c>
    </row>
    <row r="18" spans="1:10" x14ac:dyDescent="0.25">
      <c r="A18" s="1" t="s">
        <v>16</v>
      </c>
      <c r="B18" s="1" t="s">
        <v>24</v>
      </c>
      <c r="C18" s="11">
        <v>594990</v>
      </c>
      <c r="D18" s="11"/>
      <c r="E18" s="11">
        <v>32440</v>
      </c>
      <c r="F18" s="11">
        <v>2250</v>
      </c>
      <c r="G18" s="11">
        <f t="shared" si="0"/>
        <v>629680</v>
      </c>
      <c r="H18" s="17">
        <f t="shared" si="1"/>
        <v>59.86</v>
      </c>
      <c r="I18" s="16">
        <f t="shared" si="2"/>
        <v>0.13900000000000001</v>
      </c>
      <c r="J18" s="16">
        <f>ROUND(G18/620410-1,2)</f>
        <v>0.01</v>
      </c>
    </row>
    <row r="19" spans="1:10" x14ac:dyDescent="0.25">
      <c r="A19" s="1" t="s">
        <v>16</v>
      </c>
      <c r="B19" s="1" t="s">
        <v>25</v>
      </c>
      <c r="C19" s="11"/>
      <c r="D19" s="11"/>
      <c r="E19" s="11">
        <v>25600</v>
      </c>
      <c r="F19" s="11"/>
      <c r="G19" s="11">
        <f t="shared" si="0"/>
        <v>25600</v>
      </c>
      <c r="H19" s="17">
        <f t="shared" si="1"/>
        <v>2.4300000000000002</v>
      </c>
      <c r="I19" s="16">
        <f t="shared" si="2"/>
        <v>6.0000000000000001E-3</v>
      </c>
      <c r="J19" s="16">
        <f>ROUND(G19/21595-1,2)</f>
        <v>0.19</v>
      </c>
    </row>
    <row r="20" spans="1:10" x14ac:dyDescent="0.25">
      <c r="A20" s="1" t="s">
        <v>16</v>
      </c>
      <c r="B20" s="1" t="s">
        <v>26</v>
      </c>
      <c r="C20" s="11">
        <v>801970</v>
      </c>
      <c r="D20" s="11"/>
      <c r="E20" s="11"/>
      <c r="F20" s="11">
        <v>4880</v>
      </c>
      <c r="G20" s="11">
        <f t="shared" si="0"/>
        <v>806850</v>
      </c>
      <c r="H20" s="17">
        <f t="shared" si="1"/>
        <v>76.7</v>
      </c>
      <c r="I20" s="16">
        <f t="shared" si="2"/>
        <v>0.17899999999999999</v>
      </c>
      <c r="J20" s="16">
        <f>ROUND(G20/766880-1,2)</f>
        <v>0.05</v>
      </c>
    </row>
    <row r="21" spans="1:10" x14ac:dyDescent="0.25">
      <c r="A21" s="1" t="s">
        <v>16</v>
      </c>
      <c r="B21" s="1" t="s">
        <v>27</v>
      </c>
      <c r="C21" s="11"/>
      <c r="D21" s="11"/>
      <c r="E21" s="11">
        <v>2118</v>
      </c>
      <c r="F21" s="11"/>
      <c r="G21" s="11">
        <f t="shared" si="0"/>
        <v>2118</v>
      </c>
      <c r="H21" s="17">
        <f t="shared" si="1"/>
        <v>0.2</v>
      </c>
      <c r="I21" s="16">
        <f t="shared" si="2"/>
        <v>0</v>
      </c>
      <c r="J21" s="16">
        <f>ROUND(G21/1712-1,2)</f>
        <v>0.24</v>
      </c>
    </row>
    <row r="22" spans="1:10" x14ac:dyDescent="0.25">
      <c r="A22" s="1" t="s">
        <v>16</v>
      </c>
      <c r="B22" s="1" t="s">
        <v>28</v>
      </c>
      <c r="C22" s="11"/>
      <c r="D22" s="11"/>
      <c r="E22" s="11">
        <v>934</v>
      </c>
      <c r="F22" s="11"/>
      <c r="G22" s="11">
        <f t="shared" si="0"/>
        <v>934</v>
      </c>
      <c r="H22" s="17">
        <f t="shared" si="1"/>
        <v>0.09</v>
      </c>
      <c r="I22" s="16">
        <f t="shared" si="2"/>
        <v>0</v>
      </c>
      <c r="J22" s="16">
        <f>ROUND(G22/1125-1,2)</f>
        <v>-0.17</v>
      </c>
    </row>
    <row r="23" spans="1:10" x14ac:dyDescent="0.25">
      <c r="A23" s="1" t="s">
        <v>16</v>
      </c>
      <c r="B23" s="1" t="s">
        <v>29</v>
      </c>
      <c r="C23" s="11"/>
      <c r="D23" s="11"/>
      <c r="E23" s="11">
        <v>570</v>
      </c>
      <c r="F23" s="11"/>
      <c r="G23" s="11">
        <f t="shared" si="0"/>
        <v>570</v>
      </c>
      <c r="H23" s="17">
        <f t="shared" si="1"/>
        <v>0.05</v>
      </c>
      <c r="I23" s="16">
        <f t="shared" si="2"/>
        <v>0</v>
      </c>
      <c r="J23" s="16">
        <f>ROUND(G23/575-1,2)</f>
        <v>-0.01</v>
      </c>
    </row>
    <row r="24" spans="1:10" x14ac:dyDescent="0.25">
      <c r="A24" s="1" t="s">
        <v>16</v>
      </c>
      <c r="B24" s="1" t="s">
        <v>30</v>
      </c>
      <c r="C24" s="11"/>
      <c r="D24" s="11"/>
      <c r="E24" s="11">
        <v>21252</v>
      </c>
      <c r="F24" s="11"/>
      <c r="G24" s="11">
        <f t="shared" si="0"/>
        <v>21252</v>
      </c>
      <c r="H24" s="17">
        <f t="shared" si="1"/>
        <v>2.02</v>
      </c>
      <c r="I24" s="16">
        <f t="shared" si="2"/>
        <v>5.0000000000000001E-3</v>
      </c>
      <c r="J24" s="16">
        <f>ROUND(G24/31390-1,2)</f>
        <v>-0.32</v>
      </c>
    </row>
    <row r="25" spans="1:10" x14ac:dyDescent="0.25">
      <c r="A25" s="1" t="s">
        <v>16</v>
      </c>
      <c r="B25" s="1" t="s">
        <v>31</v>
      </c>
      <c r="C25" s="11"/>
      <c r="D25" s="11"/>
      <c r="E25" s="11">
        <v>3690</v>
      </c>
      <c r="F25" s="11"/>
      <c r="G25" s="11">
        <f t="shared" si="0"/>
        <v>3690</v>
      </c>
      <c r="H25" s="17">
        <f t="shared" si="1"/>
        <v>0.35</v>
      </c>
      <c r="I25" s="16">
        <f t="shared" si="2"/>
        <v>1E-3</v>
      </c>
      <c r="J25" s="16">
        <f>ROUND(G25/3470-1,2)</f>
        <v>0.06</v>
      </c>
    </row>
    <row r="26" spans="1:10" x14ac:dyDescent="0.25">
      <c r="A26" s="1" t="s">
        <v>16</v>
      </c>
      <c r="B26" s="1" t="s">
        <v>32</v>
      </c>
      <c r="C26" s="11"/>
      <c r="D26" s="11"/>
      <c r="E26" s="11">
        <v>2100</v>
      </c>
      <c r="F26" s="11"/>
      <c r="G26" s="11">
        <f t="shared" si="0"/>
        <v>2100</v>
      </c>
      <c r="H26" s="17">
        <f t="shared" si="1"/>
        <v>0.2</v>
      </c>
      <c r="I26" s="16">
        <f t="shared" si="2"/>
        <v>0</v>
      </c>
      <c r="J26" s="16">
        <f>ROUND(G26/1950-1,2)</f>
        <v>0.08</v>
      </c>
    </row>
    <row r="27" spans="1:10" x14ac:dyDescent="0.25">
      <c r="A27" s="1" t="s">
        <v>16</v>
      </c>
      <c r="B27" s="1" t="s">
        <v>33</v>
      </c>
      <c r="C27" s="11"/>
      <c r="D27" s="11"/>
      <c r="E27" s="11">
        <v>8367</v>
      </c>
      <c r="F27" s="11"/>
      <c r="G27" s="11">
        <f t="shared" si="0"/>
        <v>8367</v>
      </c>
      <c r="H27" s="17">
        <f t="shared" si="1"/>
        <v>0.8</v>
      </c>
      <c r="I27" s="16">
        <f t="shared" si="2"/>
        <v>2E-3</v>
      </c>
      <c r="J27" s="16">
        <f>ROUND(G27/9185-1,2)</f>
        <v>-0.09</v>
      </c>
    </row>
    <row r="28" spans="1:10" x14ac:dyDescent="0.25">
      <c r="A28" s="1" t="s">
        <v>16</v>
      </c>
      <c r="B28" s="1" t="s">
        <v>34</v>
      </c>
      <c r="C28" s="11"/>
      <c r="D28" s="11">
        <v>214</v>
      </c>
      <c r="E28" s="11">
        <v>795</v>
      </c>
      <c r="F28" s="11"/>
      <c r="G28" s="11">
        <f t="shared" si="0"/>
        <v>1009</v>
      </c>
      <c r="H28" s="17">
        <f t="shared" si="1"/>
        <v>0.1</v>
      </c>
      <c r="I28" s="16">
        <f t="shared" si="2"/>
        <v>0</v>
      </c>
      <c r="J28" s="16">
        <f>ROUND(G28/916-1,2)</f>
        <v>0.1</v>
      </c>
    </row>
    <row r="29" spans="1:10" x14ac:dyDescent="0.25">
      <c r="A29" s="1" t="s">
        <v>16</v>
      </c>
      <c r="B29" s="1" t="s">
        <v>36</v>
      </c>
      <c r="C29" s="11"/>
      <c r="D29" s="11"/>
      <c r="E29" s="11">
        <v>297</v>
      </c>
      <c r="F29" s="11"/>
      <c r="G29" s="11">
        <f t="shared" si="0"/>
        <v>297</v>
      </c>
      <c r="H29" s="17">
        <f t="shared" si="1"/>
        <v>0.03</v>
      </c>
      <c r="I29" s="16">
        <f t="shared" si="2"/>
        <v>0</v>
      </c>
      <c r="J29" s="16">
        <f>ROUND(G29/2302-1,2)</f>
        <v>-0.87</v>
      </c>
    </row>
    <row r="30" spans="1:10" x14ac:dyDescent="0.25">
      <c r="A30" s="1" t="s">
        <v>16</v>
      </c>
      <c r="B30" s="1" t="s">
        <v>35</v>
      </c>
      <c r="C30" s="11"/>
      <c r="D30" s="11"/>
      <c r="E30" s="11">
        <v>7826</v>
      </c>
      <c r="F30" s="11"/>
      <c r="G30" s="11">
        <f t="shared" si="0"/>
        <v>7826</v>
      </c>
      <c r="H30" s="17">
        <f t="shared" si="1"/>
        <v>0.74</v>
      </c>
      <c r="I30" s="16">
        <f t="shared" si="2"/>
        <v>2E-3</v>
      </c>
      <c r="J30" s="16">
        <f>ROUND(G30/5655-1,2)</f>
        <v>0.38</v>
      </c>
    </row>
    <row r="31" spans="1:10" x14ac:dyDescent="0.25">
      <c r="A31" s="1" t="s">
        <v>16</v>
      </c>
      <c r="B31" s="1" t="s">
        <v>37</v>
      </c>
      <c r="C31" s="11"/>
      <c r="D31" s="11"/>
      <c r="E31" s="11">
        <v>6920</v>
      </c>
      <c r="F31" s="11"/>
      <c r="G31" s="11">
        <f t="shared" si="0"/>
        <v>6920</v>
      </c>
      <c r="H31" s="17">
        <f t="shared" si="1"/>
        <v>0.66</v>
      </c>
      <c r="I31" s="16">
        <f t="shared" si="2"/>
        <v>2E-3</v>
      </c>
      <c r="J31" s="16">
        <f>ROUND(G31/9360-1,2)</f>
        <v>-0.26</v>
      </c>
    </row>
    <row r="32" spans="1:10" x14ac:dyDescent="0.25">
      <c r="A32" s="1" t="s">
        <v>16</v>
      </c>
      <c r="B32" s="1" t="s">
        <v>39</v>
      </c>
      <c r="C32" s="11"/>
      <c r="D32" s="11"/>
      <c r="E32" s="11">
        <v>39480</v>
      </c>
      <c r="F32" s="11"/>
      <c r="G32" s="11">
        <f t="shared" si="0"/>
        <v>39480</v>
      </c>
      <c r="H32" s="17">
        <f t="shared" si="1"/>
        <v>3.75</v>
      </c>
      <c r="I32" s="16">
        <f t="shared" si="2"/>
        <v>8.9999999999999993E-3</v>
      </c>
      <c r="J32" s="16">
        <f>ROUND(G32/27420-1,2)</f>
        <v>0.44</v>
      </c>
    </row>
    <row r="33" spans="1:10" x14ac:dyDescent="0.25">
      <c r="A33" s="1" t="s">
        <v>16</v>
      </c>
      <c r="B33" s="1" t="s">
        <v>38</v>
      </c>
      <c r="C33" s="11"/>
      <c r="D33" s="11"/>
      <c r="E33" s="11">
        <v>19740</v>
      </c>
      <c r="F33" s="11"/>
      <c r="G33" s="11">
        <f t="shared" si="0"/>
        <v>19740</v>
      </c>
      <c r="H33" s="17">
        <f t="shared" si="1"/>
        <v>1.88</v>
      </c>
      <c r="I33" s="16">
        <f t="shared" si="2"/>
        <v>4.0000000000000001E-3</v>
      </c>
      <c r="J33" s="16">
        <f>ROUND(G33/63110-1,2)</f>
        <v>-0.69</v>
      </c>
    </row>
    <row r="34" spans="1:10" x14ac:dyDescent="0.25">
      <c r="A34" s="1" t="s">
        <v>16</v>
      </c>
      <c r="B34" s="1" t="s">
        <v>40</v>
      </c>
      <c r="C34" s="11"/>
      <c r="D34" s="11"/>
      <c r="E34" s="11">
        <v>331245</v>
      </c>
      <c r="F34" s="11"/>
      <c r="G34" s="11">
        <f t="shared" si="0"/>
        <v>331245</v>
      </c>
      <c r="H34" s="17">
        <f t="shared" si="1"/>
        <v>31.49</v>
      </c>
      <c r="I34" s="16">
        <f t="shared" si="2"/>
        <v>7.2999999999999995E-2</v>
      </c>
      <c r="J34" s="16">
        <f>ROUND(G34/320780-1,2)</f>
        <v>0.03</v>
      </c>
    </row>
    <row r="35" spans="1:10" x14ac:dyDescent="0.25">
      <c r="A35" s="1" t="s">
        <v>16</v>
      </c>
      <c r="B35" s="1" t="s">
        <v>41</v>
      </c>
      <c r="C35" s="11"/>
      <c r="D35" s="11"/>
      <c r="E35" s="11">
        <v>18500</v>
      </c>
      <c r="F35" s="11"/>
      <c r="G35" s="11">
        <f t="shared" si="0"/>
        <v>18500</v>
      </c>
      <c r="H35" s="17">
        <f t="shared" si="1"/>
        <v>1.76</v>
      </c>
      <c r="I35" s="16">
        <f t="shared" si="2"/>
        <v>4.0000000000000001E-3</v>
      </c>
      <c r="J35" s="16">
        <f>ROUND(G35/16100-1,2)</f>
        <v>0.15</v>
      </c>
    </row>
    <row r="36" spans="1:10" x14ac:dyDescent="0.25">
      <c r="A36" s="1" t="s">
        <v>16</v>
      </c>
      <c r="B36" s="1" t="s">
        <v>42</v>
      </c>
      <c r="C36" s="11"/>
      <c r="D36" s="11"/>
      <c r="E36" s="11">
        <v>87450</v>
      </c>
      <c r="F36" s="11"/>
      <c r="G36" s="11">
        <f t="shared" si="0"/>
        <v>87450</v>
      </c>
      <c r="H36" s="17">
        <f t="shared" si="1"/>
        <v>8.31</v>
      </c>
      <c r="I36" s="16">
        <f t="shared" si="2"/>
        <v>1.9E-2</v>
      </c>
      <c r="J36" s="16">
        <f>ROUND(G36/74890-1,2)</f>
        <v>0.17</v>
      </c>
    </row>
    <row r="37" spans="1:10" x14ac:dyDescent="0.25">
      <c r="A37" s="1" t="s">
        <v>16</v>
      </c>
      <c r="B37" s="1" t="s">
        <v>44</v>
      </c>
      <c r="C37" s="11"/>
      <c r="D37" s="11"/>
      <c r="E37" s="11">
        <v>276780</v>
      </c>
      <c r="F37" s="11"/>
      <c r="G37" s="11">
        <f t="shared" si="0"/>
        <v>276780</v>
      </c>
      <c r="H37" s="17">
        <f t="shared" si="1"/>
        <v>26.31</v>
      </c>
      <c r="I37" s="16">
        <f t="shared" si="2"/>
        <v>6.0999999999999999E-2</v>
      </c>
      <c r="J37" s="16">
        <f>ROUND(G37/260610-1,2)</f>
        <v>0.06</v>
      </c>
    </row>
    <row r="38" spans="1:10" x14ac:dyDescent="0.25">
      <c r="A38" s="1" t="s">
        <v>16</v>
      </c>
      <c r="B38" s="1" t="s">
        <v>99</v>
      </c>
      <c r="C38" s="11"/>
      <c r="D38" s="11"/>
      <c r="E38" s="11"/>
      <c r="F38" s="11"/>
      <c r="G38" s="11">
        <f t="shared" si="0"/>
        <v>0</v>
      </c>
      <c r="H38" s="17">
        <f t="shared" si="1"/>
        <v>0</v>
      </c>
      <c r="I38" s="16">
        <f t="shared" si="2"/>
        <v>0</v>
      </c>
      <c r="J38" s="16"/>
    </row>
    <row r="39" spans="1:10" x14ac:dyDescent="0.25">
      <c r="A39" s="1" t="s">
        <v>16</v>
      </c>
      <c r="B39" s="1" t="s">
        <v>117</v>
      </c>
      <c r="C39" s="11"/>
      <c r="D39" s="11"/>
      <c r="E39" s="11"/>
      <c r="F39" s="11"/>
      <c r="G39" s="11">
        <f t="shared" si="0"/>
        <v>0</v>
      </c>
      <c r="H39" s="17">
        <f t="shared" si="1"/>
        <v>0</v>
      </c>
      <c r="I39" s="16">
        <f t="shared" si="2"/>
        <v>0</v>
      </c>
      <c r="J39" s="16">
        <f>ROUND(G39/12060-1,2)</f>
        <v>-1</v>
      </c>
    </row>
    <row r="40" spans="1:10" x14ac:dyDescent="0.25">
      <c r="A40" s="1" t="s">
        <v>16</v>
      </c>
      <c r="B40" s="1" t="s">
        <v>185</v>
      </c>
      <c r="C40" s="11"/>
      <c r="D40" s="11"/>
      <c r="E40" s="11"/>
      <c r="F40" s="11"/>
      <c r="G40" s="11">
        <f t="shared" si="0"/>
        <v>0</v>
      </c>
      <c r="H40" s="17">
        <f t="shared" si="1"/>
        <v>0</v>
      </c>
      <c r="I40" s="16">
        <f t="shared" si="2"/>
        <v>0</v>
      </c>
      <c r="J40" s="16"/>
    </row>
    <row r="41" spans="1:10" x14ac:dyDescent="0.25">
      <c r="A41" s="1" t="s">
        <v>16</v>
      </c>
      <c r="B41" s="1" t="s">
        <v>173</v>
      </c>
      <c r="C41" s="11"/>
      <c r="D41" s="11"/>
      <c r="E41" s="11"/>
      <c r="F41" s="11"/>
      <c r="G41" s="11">
        <f t="shared" si="0"/>
        <v>0</v>
      </c>
      <c r="H41" s="17">
        <f t="shared" si="1"/>
        <v>0</v>
      </c>
      <c r="I41" s="16">
        <f t="shared" si="2"/>
        <v>0</v>
      </c>
      <c r="J41" s="16"/>
    </row>
    <row r="42" spans="1:10" x14ac:dyDescent="0.25">
      <c r="A42" s="1" t="s">
        <v>45</v>
      </c>
      <c r="B42" s="1" t="s">
        <v>46</v>
      </c>
      <c r="C42" s="11">
        <v>797690</v>
      </c>
      <c r="D42" s="11"/>
      <c r="E42" s="11"/>
      <c r="F42" s="11">
        <v>2900</v>
      </c>
      <c r="G42" s="11">
        <f t="shared" si="0"/>
        <v>800590</v>
      </c>
      <c r="H42" s="17">
        <f t="shared" si="1"/>
        <v>76.099999999999994</v>
      </c>
      <c r="I42" s="16">
        <f t="shared" si="2"/>
        <v>0.17699999999999999</v>
      </c>
      <c r="J42" s="16">
        <f>ROUND(G42/801150-1,2)</f>
        <v>0</v>
      </c>
    </row>
    <row r="43" spans="1:10" x14ac:dyDescent="0.25">
      <c r="A43" s="1" t="s">
        <v>45</v>
      </c>
      <c r="B43" s="1" t="s">
        <v>48</v>
      </c>
      <c r="C43" s="11"/>
      <c r="D43" s="11"/>
      <c r="E43" s="11"/>
      <c r="F43" s="11">
        <v>59080</v>
      </c>
      <c r="G43" s="11">
        <f t="shared" si="0"/>
        <v>59080</v>
      </c>
      <c r="H43" s="17">
        <f t="shared" si="1"/>
        <v>5.62</v>
      </c>
      <c r="I43" s="16">
        <f t="shared" si="2"/>
        <v>1.2999999999999999E-2</v>
      </c>
      <c r="J43" s="16">
        <f>ROUND(G43/107360-1,2)</f>
        <v>-0.45</v>
      </c>
    </row>
    <row r="44" spans="1:10" x14ac:dyDescent="0.25">
      <c r="A44" s="1" t="s">
        <v>45</v>
      </c>
      <c r="B44" s="1" t="s">
        <v>47</v>
      </c>
      <c r="C44" s="11"/>
      <c r="D44" s="11"/>
      <c r="E44" s="11">
        <v>167720</v>
      </c>
      <c r="F44" s="11"/>
      <c r="G44" s="11">
        <f t="shared" si="0"/>
        <v>167720</v>
      </c>
      <c r="H44" s="17">
        <f t="shared" si="1"/>
        <v>15.94</v>
      </c>
      <c r="I44" s="16">
        <f t="shared" si="2"/>
        <v>3.6999999999999998E-2</v>
      </c>
      <c r="J44" s="16">
        <f>ROUND(G44/157150-1,2)</f>
        <v>7.0000000000000007E-2</v>
      </c>
    </row>
    <row r="45" spans="1:10" x14ac:dyDescent="0.25">
      <c r="A45" s="1" t="s">
        <v>49</v>
      </c>
      <c r="B45" s="1" t="s">
        <v>52</v>
      </c>
      <c r="C45" s="11"/>
      <c r="D45" s="11"/>
      <c r="E45" s="11"/>
      <c r="F45" s="11"/>
      <c r="G45" s="11">
        <f t="shared" si="0"/>
        <v>0</v>
      </c>
      <c r="H45" s="17">
        <f t="shared" si="1"/>
        <v>0</v>
      </c>
      <c r="I45" s="16">
        <f t="shared" si="2"/>
        <v>0</v>
      </c>
      <c r="J45" s="16"/>
    </row>
    <row r="46" spans="1:10" x14ac:dyDescent="0.25">
      <c r="A46" s="1" t="s">
        <v>49</v>
      </c>
      <c r="B46" s="1" t="s">
        <v>51</v>
      </c>
      <c r="C46" s="11"/>
      <c r="D46" s="11"/>
      <c r="E46" s="11"/>
      <c r="F46" s="11"/>
      <c r="G46" s="11">
        <f t="shared" si="0"/>
        <v>0</v>
      </c>
      <c r="H46" s="17">
        <f t="shared" si="1"/>
        <v>0</v>
      </c>
      <c r="I46" s="16">
        <f t="shared" si="2"/>
        <v>0</v>
      </c>
      <c r="J46" s="16"/>
    </row>
    <row r="47" spans="1:10" x14ac:dyDescent="0.25">
      <c r="A47" s="1" t="s">
        <v>49</v>
      </c>
      <c r="B47" s="1" t="s">
        <v>100</v>
      </c>
      <c r="C47" s="11"/>
      <c r="D47" s="11"/>
      <c r="E47" s="11"/>
      <c r="F47" s="11"/>
      <c r="G47" s="11">
        <f t="shared" si="0"/>
        <v>0</v>
      </c>
      <c r="H47" s="17">
        <f t="shared" si="1"/>
        <v>0</v>
      </c>
      <c r="I47" s="16">
        <f t="shared" si="2"/>
        <v>0</v>
      </c>
      <c r="J47" s="16"/>
    </row>
    <row r="48" spans="1:10" x14ac:dyDescent="0.25">
      <c r="A48" s="1" t="s">
        <v>49</v>
      </c>
      <c r="B48" s="1" t="s">
        <v>169</v>
      </c>
      <c r="C48" s="11"/>
      <c r="D48" s="11"/>
      <c r="E48" s="11"/>
      <c r="F48" s="11"/>
      <c r="G48" s="11">
        <f t="shared" si="0"/>
        <v>0</v>
      </c>
      <c r="H48" s="17">
        <f t="shared" si="1"/>
        <v>0</v>
      </c>
      <c r="I48" s="16">
        <f t="shared" si="2"/>
        <v>0</v>
      </c>
      <c r="J48" s="16"/>
    </row>
    <row r="49" spans="1:10" x14ac:dyDescent="0.25">
      <c r="A49" s="26" t="s">
        <v>12</v>
      </c>
      <c r="B49" s="26"/>
      <c r="C49" s="12">
        <f t="shared" ref="C49:H49" si="3">SUM(C8:C48)</f>
        <v>3035390</v>
      </c>
      <c r="D49" s="12">
        <f t="shared" si="3"/>
        <v>214</v>
      </c>
      <c r="E49" s="12">
        <f t="shared" si="3"/>
        <v>1387644</v>
      </c>
      <c r="F49" s="12">
        <f t="shared" si="3"/>
        <v>93030</v>
      </c>
      <c r="G49" s="12">
        <f t="shared" si="3"/>
        <v>4516278</v>
      </c>
      <c r="H49" s="15">
        <f t="shared" si="3"/>
        <v>429.32</v>
      </c>
      <c r="I49" s="18"/>
      <c r="J49" s="18"/>
    </row>
    <row r="50" spans="1:10" x14ac:dyDescent="0.25">
      <c r="A50" s="26" t="s">
        <v>14</v>
      </c>
      <c r="B50" s="26"/>
      <c r="C50" s="13">
        <f>ROUND(C49/G49,2)</f>
        <v>0.67</v>
      </c>
      <c r="D50" s="13">
        <f>ROUND(D49/G49,2)</f>
        <v>0</v>
      </c>
      <c r="E50" s="13">
        <f>ROUND(E49/G49,2)</f>
        <v>0.31</v>
      </c>
      <c r="F50" s="13">
        <f>ROUND(F49/G49,2)</f>
        <v>0.02</v>
      </c>
      <c r="G50" s="14"/>
      <c r="H50" s="14"/>
      <c r="I50" s="18"/>
      <c r="J50" s="18"/>
    </row>
    <row r="51" spans="1:10" x14ac:dyDescent="0.25">
      <c r="A51" s="2" t="s">
        <v>53</v>
      </c>
      <c r="B51" s="2"/>
      <c r="C51" s="14"/>
      <c r="D51" s="14"/>
      <c r="E51" s="14"/>
      <c r="F51" s="14"/>
      <c r="G51" s="14"/>
      <c r="H51" s="14"/>
      <c r="I51" s="18"/>
      <c r="J51" s="18"/>
    </row>
    <row r="52" spans="1:10" x14ac:dyDescent="0.25">
      <c r="C52" s="9"/>
      <c r="D52" s="9"/>
      <c r="E52" s="9"/>
      <c r="F52" s="9"/>
      <c r="G52" s="9"/>
      <c r="H52" s="9"/>
      <c r="I52" s="10"/>
      <c r="J52" s="10"/>
    </row>
    <row r="53" spans="1:10" x14ac:dyDescent="0.25">
      <c r="C53" s="9"/>
      <c r="D53" s="9"/>
      <c r="E53" s="9"/>
      <c r="F53" s="9"/>
      <c r="G53" s="9"/>
      <c r="H53" s="9"/>
      <c r="I53" s="10"/>
      <c r="J53" s="10"/>
    </row>
    <row r="54" spans="1:10" x14ac:dyDescent="0.25">
      <c r="C54" s="9"/>
      <c r="D54" s="9"/>
      <c r="E54" s="9"/>
      <c r="F54" s="9"/>
      <c r="G54" s="9"/>
      <c r="H54" s="9"/>
      <c r="I54" s="10"/>
      <c r="J54" s="10"/>
    </row>
    <row r="55" spans="1:10" x14ac:dyDescent="0.25">
      <c r="A55" s="26" t="s">
        <v>54</v>
      </c>
      <c r="B55" s="26"/>
      <c r="C55" s="12" t="s">
        <v>8</v>
      </c>
      <c r="D55" s="12" t="s">
        <v>9</v>
      </c>
      <c r="E55" s="12" t="s">
        <v>10</v>
      </c>
      <c r="F55" s="12" t="s">
        <v>11</v>
      </c>
      <c r="G55" s="12" t="s">
        <v>12</v>
      </c>
      <c r="H55" s="15" t="s">
        <v>13</v>
      </c>
      <c r="I55" s="18"/>
      <c r="J55" s="18"/>
    </row>
    <row r="56" spans="1:10" x14ac:dyDescent="0.25">
      <c r="A56" s="21" t="s">
        <v>55</v>
      </c>
      <c r="B56" s="21"/>
      <c r="C56" s="11">
        <v>2237700</v>
      </c>
      <c r="D56" s="11">
        <v>214</v>
      </c>
      <c r="E56" s="11">
        <v>1219924</v>
      </c>
      <c r="F56" s="11">
        <v>31050</v>
      </c>
      <c r="G56" s="11">
        <f>SUM(C56:F56)</f>
        <v>3488888</v>
      </c>
      <c r="H56" s="17">
        <f>ROUND(G56/10520,2)</f>
        <v>331.64</v>
      </c>
      <c r="I56" s="10"/>
      <c r="J56" s="10"/>
    </row>
    <row r="57" spans="1:10" x14ac:dyDescent="0.25">
      <c r="A57" s="21" t="s">
        <v>56</v>
      </c>
      <c r="B57" s="21"/>
      <c r="C57" s="11">
        <v>797690</v>
      </c>
      <c r="D57" s="11">
        <v>0</v>
      </c>
      <c r="E57" s="11">
        <v>167720</v>
      </c>
      <c r="F57" s="11">
        <v>61980</v>
      </c>
      <c r="G57" s="11">
        <f>SUM(C57:F57)</f>
        <v>1027390</v>
      </c>
      <c r="H57" s="17">
        <f>ROUND(G57/10520,2)</f>
        <v>97.66</v>
      </c>
      <c r="I57" s="10"/>
      <c r="J57" s="10"/>
    </row>
    <row r="58" spans="1:10" x14ac:dyDescent="0.25">
      <c r="A58" s="21" t="s">
        <v>57</v>
      </c>
      <c r="B58" s="21"/>
      <c r="C58" s="11">
        <v>0</v>
      </c>
      <c r="D58" s="11">
        <v>0</v>
      </c>
      <c r="E58" s="11">
        <v>0</v>
      </c>
      <c r="F58" s="11">
        <v>0</v>
      </c>
      <c r="G58" s="11">
        <f>SUM(C58:F58)</f>
        <v>0</v>
      </c>
      <c r="H58" s="17">
        <f>ROUND(G58/10520,2)</f>
        <v>0</v>
      </c>
      <c r="I58" s="10"/>
      <c r="J58" s="10"/>
    </row>
    <row r="59" spans="1:10" x14ac:dyDescent="0.25">
      <c r="C59" s="9"/>
      <c r="D59" s="9"/>
      <c r="E59" s="9"/>
      <c r="F59" s="9"/>
      <c r="G59" s="9"/>
      <c r="H59" s="9"/>
      <c r="I59" s="10"/>
      <c r="J59" s="10"/>
    </row>
    <row r="60" spans="1:10" x14ac:dyDescent="0.25">
      <c r="C60" s="9"/>
      <c r="D60" s="9"/>
      <c r="E60" s="9"/>
      <c r="F60" s="9"/>
      <c r="G60" s="9"/>
      <c r="H60" s="9"/>
      <c r="I60" s="10"/>
      <c r="J60" s="10"/>
    </row>
    <row r="61" spans="1:10" x14ac:dyDescent="0.25">
      <c r="C61" s="9"/>
      <c r="D61" s="9"/>
      <c r="E61" s="9"/>
      <c r="F61" s="9"/>
      <c r="G61" s="9"/>
      <c r="H61" s="9"/>
      <c r="I61" s="10"/>
      <c r="J61" s="10"/>
    </row>
    <row r="62" spans="1:10" x14ac:dyDescent="0.25">
      <c r="C62" s="9"/>
      <c r="D62" s="9"/>
      <c r="E62" s="9"/>
      <c r="F62" s="9"/>
      <c r="G62" s="9"/>
      <c r="H62" s="9"/>
      <c r="I62" s="10"/>
      <c r="J62" s="10"/>
    </row>
    <row r="63" spans="1:10" x14ac:dyDescent="0.25">
      <c r="A63" s="26" t="s">
        <v>58</v>
      </c>
      <c r="B63" s="26"/>
      <c r="C63" s="15" t="s">
        <v>2</v>
      </c>
      <c r="D63" s="15">
        <v>2024</v>
      </c>
      <c r="E63" s="15" t="s">
        <v>60</v>
      </c>
      <c r="F63" s="14"/>
      <c r="G63" s="15" t="s">
        <v>61</v>
      </c>
      <c r="H63" s="15" t="s">
        <v>2</v>
      </c>
      <c r="I63" s="13" t="s">
        <v>62</v>
      </c>
      <c r="J63" s="13" t="s">
        <v>60</v>
      </c>
    </row>
    <row r="64" spans="1:10" x14ac:dyDescent="0.25">
      <c r="A64" s="21" t="s">
        <v>59</v>
      </c>
      <c r="B64" s="21"/>
      <c r="C64" s="16">
        <f>ROUND(0.811, 4)</f>
        <v>0.81100000000000005</v>
      </c>
      <c r="D64" s="16">
        <f>ROUND(0.8068, 4)</f>
        <v>0.80679999999999996</v>
      </c>
      <c r="E64" s="16">
        <f>ROUND(0.7856, 4)</f>
        <v>0.78559999999999997</v>
      </c>
      <c r="F64" s="9"/>
      <c r="G64" s="15" t="s">
        <v>63</v>
      </c>
      <c r="H64" s="27" t="s">
        <v>64</v>
      </c>
      <c r="I64" s="24" t="s">
        <v>65</v>
      </c>
      <c r="J64" s="24" t="s">
        <v>66</v>
      </c>
    </row>
    <row r="65" spans="1:10" x14ac:dyDescent="0.25">
      <c r="A65" s="21" t="s">
        <v>67</v>
      </c>
      <c r="B65" s="21"/>
      <c r="C65" s="16">
        <f>ROUND(0.811, 4)</f>
        <v>0.81100000000000005</v>
      </c>
      <c r="D65" s="16">
        <f>ROUND(0.7953, 4)</f>
        <v>0.79530000000000001</v>
      </c>
      <c r="E65" s="16">
        <f>ROUND(0.7702, 4)</f>
        <v>0.7702</v>
      </c>
      <c r="F65" s="9"/>
      <c r="G65" s="15" t="s">
        <v>68</v>
      </c>
      <c r="H65" s="28"/>
      <c r="I65" s="25"/>
      <c r="J65" s="25"/>
    </row>
    <row r="66" spans="1:10" x14ac:dyDescent="0.25">
      <c r="C66" s="9"/>
      <c r="D66" s="9"/>
      <c r="E66" s="9"/>
      <c r="F66" s="9"/>
      <c r="G66" s="9"/>
      <c r="H66" s="9"/>
      <c r="I66" s="10"/>
      <c r="J66" s="10"/>
    </row>
    <row r="67" spans="1:10" x14ac:dyDescent="0.25">
      <c r="C67" s="9"/>
      <c r="D67" s="9"/>
      <c r="E67" s="9"/>
      <c r="F67" s="9"/>
      <c r="G67" s="9"/>
      <c r="H67" s="9"/>
      <c r="I67" s="10"/>
      <c r="J67" s="10"/>
    </row>
    <row r="68" spans="1:10" x14ac:dyDescent="0.25">
      <c r="C68" s="9"/>
      <c r="D68" s="9"/>
      <c r="E68" s="9"/>
      <c r="F68" s="9"/>
      <c r="G68" s="9"/>
      <c r="H68" s="9"/>
      <c r="I68" s="10"/>
      <c r="J68" s="10"/>
    </row>
    <row r="69" spans="1:10" x14ac:dyDescent="0.25">
      <c r="A69" s="26" t="s">
        <v>69</v>
      </c>
      <c r="B69" s="26"/>
      <c r="C69" s="15" t="s">
        <v>2</v>
      </c>
      <c r="D69" s="15" t="s">
        <v>186</v>
      </c>
      <c r="E69" s="15" t="s">
        <v>71</v>
      </c>
      <c r="F69" s="15" t="s">
        <v>72</v>
      </c>
      <c r="G69" s="15" t="s">
        <v>73</v>
      </c>
      <c r="H69" s="14"/>
      <c r="I69" s="18"/>
      <c r="J69" s="18"/>
    </row>
    <row r="70" spans="1:10" x14ac:dyDescent="0.25">
      <c r="A70" s="21" t="s">
        <v>74</v>
      </c>
      <c r="B70" s="21"/>
      <c r="C70" s="17">
        <v>76.099999999999994</v>
      </c>
      <c r="D70" s="17">
        <v>73.16</v>
      </c>
      <c r="E70" s="17">
        <v>96.15</v>
      </c>
      <c r="F70" s="17">
        <v>57.94</v>
      </c>
      <c r="G70" s="17">
        <f>12/12*C70</f>
        <v>76.099999999999994</v>
      </c>
      <c r="H70" s="9"/>
      <c r="I70" s="10"/>
      <c r="J70" s="10"/>
    </row>
    <row r="71" spans="1:10" x14ac:dyDescent="0.25">
      <c r="A71" s="21" t="s">
        <v>75</v>
      </c>
      <c r="B71" s="21"/>
      <c r="C71" s="1">
        <v>76.7</v>
      </c>
      <c r="D71" s="1">
        <v>73.25</v>
      </c>
      <c r="E71" s="1">
        <v>62.28</v>
      </c>
      <c r="F71" s="1">
        <v>66.599999999999994</v>
      </c>
      <c r="G71" s="1">
        <f>12/12*C71</f>
        <v>76.7</v>
      </c>
    </row>
    <row r="72" spans="1:10" x14ac:dyDescent="0.25">
      <c r="A72" s="21" t="s">
        <v>76</v>
      </c>
      <c r="B72" s="21"/>
      <c r="C72" s="1">
        <v>331.64</v>
      </c>
      <c r="D72" s="1">
        <v>304.82</v>
      </c>
      <c r="E72" s="1">
        <v>300.02</v>
      </c>
      <c r="F72" s="1">
        <v>295.08</v>
      </c>
      <c r="G72" s="1">
        <f>12/12*C72</f>
        <v>331.64</v>
      </c>
    </row>
    <row r="73" spans="1:10" x14ac:dyDescent="0.25">
      <c r="A73" s="21" t="s">
        <v>77</v>
      </c>
      <c r="B73" s="21"/>
      <c r="C73" s="1">
        <v>97.66</v>
      </c>
      <c r="D73" s="1">
        <v>95.22</v>
      </c>
      <c r="E73" s="1">
        <v>120.96</v>
      </c>
      <c r="F73" s="1">
        <v>83.12</v>
      </c>
      <c r="G73" s="1">
        <f>12/12*C73</f>
        <v>97.66</v>
      </c>
    </row>
    <row r="76" spans="1:10" x14ac:dyDescent="0.25">
      <c r="A76" s="22" t="s">
        <v>61</v>
      </c>
      <c r="B76" s="23"/>
    </row>
    <row r="77" spans="1:10" x14ac:dyDescent="0.25">
      <c r="A77" s="3" t="s">
        <v>78</v>
      </c>
      <c r="B77" s="1" t="s">
        <v>187</v>
      </c>
    </row>
    <row r="78" spans="1:10" x14ac:dyDescent="0.25">
      <c r="A78" s="3" t="s">
        <v>71</v>
      </c>
      <c r="B78" s="1" t="s">
        <v>80</v>
      </c>
    </row>
    <row r="79" spans="1:10" x14ac:dyDescent="0.25">
      <c r="A79" s="3" t="s">
        <v>72</v>
      </c>
      <c r="B79" s="1" t="s">
        <v>81</v>
      </c>
    </row>
    <row r="80" spans="1:10" x14ac:dyDescent="0.25">
      <c r="A80" s="3" t="s">
        <v>73</v>
      </c>
      <c r="B80" s="1" t="s">
        <v>82</v>
      </c>
    </row>
  </sheetData>
  <mergeCells count="19">
    <mergeCell ref="C7:G7"/>
    <mergeCell ref="A49:B49"/>
    <mergeCell ref="A50:B50"/>
    <mergeCell ref="A55:B55"/>
    <mergeCell ref="A56:B56"/>
    <mergeCell ref="J64:J65"/>
    <mergeCell ref="A65:B65"/>
    <mergeCell ref="A69:B69"/>
    <mergeCell ref="A70:B70"/>
    <mergeCell ref="A57:B57"/>
    <mergeCell ref="A58:B58"/>
    <mergeCell ref="A63:B63"/>
    <mergeCell ref="A64:B64"/>
    <mergeCell ref="H64:H65"/>
    <mergeCell ref="A71:B71"/>
    <mergeCell ref="A72:B72"/>
    <mergeCell ref="A73:B73"/>
    <mergeCell ref="A76:B76"/>
    <mergeCell ref="I64:I65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J74"/>
  <sheetViews>
    <sheetView workbookViewId="0">
      <selection activeCell="H5" sqref="H5"/>
    </sheetView>
  </sheetViews>
  <sheetFormatPr defaultRowHeight="15" x14ac:dyDescent="0.25"/>
  <cols>
    <col min="1" max="1" width="28.42578125" bestFit="1" customWidth="1"/>
    <col min="2" max="2" width="59.5703125" bestFit="1" customWidth="1"/>
    <col min="3" max="3" width="12.7109375" bestFit="1" customWidth="1"/>
    <col min="4" max="4" width="20.42578125" bestFit="1" customWidth="1"/>
    <col min="5" max="5" width="13.85546875" bestFit="1" customWidth="1"/>
    <col min="6" max="6" width="8.5703125" bestFit="1" customWidth="1"/>
    <col min="7" max="7" width="47.7109375" bestFit="1" customWidth="1"/>
    <col min="8" max="9" width="16.7109375" bestFit="1" customWidth="1"/>
    <col min="10" max="10" width="24.42578125" bestFit="1" customWidth="1"/>
  </cols>
  <sheetData>
    <row r="2" spans="1:10" ht="18.75" x14ac:dyDescent="0.3">
      <c r="A2" s="3" t="s">
        <v>0</v>
      </c>
      <c r="B2" s="4" t="s">
        <v>188</v>
      </c>
    </row>
    <row r="3" spans="1:10" x14ac:dyDescent="0.25">
      <c r="A3" s="3" t="s">
        <v>2</v>
      </c>
      <c r="B3" s="1" t="s">
        <v>3</v>
      </c>
    </row>
    <row r="4" spans="1:10" x14ac:dyDescent="0.25">
      <c r="A4" s="3" t="s">
        <v>4</v>
      </c>
      <c r="B4" s="20">
        <v>652</v>
      </c>
    </row>
    <row r="7" spans="1:10" x14ac:dyDescent="0.25">
      <c r="C7" s="22" t="s">
        <v>5</v>
      </c>
      <c r="D7" s="21"/>
      <c r="E7" s="21"/>
      <c r="F7" s="21"/>
      <c r="G7" s="21"/>
    </row>
    <row r="8" spans="1:10" x14ac:dyDescent="0.25">
      <c r="A8" s="3" t="s">
        <v>6</v>
      </c>
      <c r="B8" s="3" t="s">
        <v>7</v>
      </c>
      <c r="C8" s="15" t="s">
        <v>8</v>
      </c>
      <c r="D8" s="15" t="s">
        <v>9</v>
      </c>
      <c r="E8" s="15" t="s">
        <v>10</v>
      </c>
      <c r="F8" s="15" t="s">
        <v>11</v>
      </c>
      <c r="G8" s="15" t="s">
        <v>12</v>
      </c>
      <c r="H8" s="15" t="s">
        <v>13</v>
      </c>
      <c r="I8" s="15" t="s">
        <v>14</v>
      </c>
      <c r="J8" s="15" t="s">
        <v>15</v>
      </c>
    </row>
    <row r="9" spans="1:10" x14ac:dyDescent="0.25">
      <c r="A9" s="1" t="s">
        <v>16</v>
      </c>
      <c r="B9" s="1" t="s">
        <v>17</v>
      </c>
      <c r="C9" s="11"/>
      <c r="D9" s="11"/>
      <c r="E9" s="11">
        <v>30</v>
      </c>
      <c r="F9" s="11"/>
      <c r="G9" s="11">
        <f t="shared" ref="G9:G38" si="0">SUM(C9:F9)</f>
        <v>30</v>
      </c>
      <c r="H9" s="17">
        <f t="shared" ref="H9:H38" si="1">ROUND(G9/652,2)</f>
        <v>0.05</v>
      </c>
      <c r="I9" s="16">
        <f t="shared" ref="I9:I38" si="2">ROUND(G9/$G$39,3)</f>
        <v>0</v>
      </c>
      <c r="J9" s="16">
        <f>ROUND(G9/14-1,2)</f>
        <v>1.1399999999999999</v>
      </c>
    </row>
    <row r="10" spans="1:10" x14ac:dyDescent="0.25">
      <c r="A10" s="1" t="s">
        <v>16</v>
      </c>
      <c r="B10" s="1" t="s">
        <v>19</v>
      </c>
      <c r="C10" s="11">
        <v>22500</v>
      </c>
      <c r="D10" s="11"/>
      <c r="E10" s="11">
        <v>2991</v>
      </c>
      <c r="F10" s="11"/>
      <c r="G10" s="11">
        <f t="shared" si="0"/>
        <v>25491</v>
      </c>
      <c r="H10" s="17">
        <f t="shared" si="1"/>
        <v>39.1</v>
      </c>
      <c r="I10" s="16">
        <f t="shared" si="2"/>
        <v>0.106</v>
      </c>
      <c r="J10" s="16">
        <f>ROUND(G10/26556-1,2)</f>
        <v>-0.04</v>
      </c>
    </row>
    <row r="11" spans="1:10" x14ac:dyDescent="0.25">
      <c r="A11" s="1" t="s">
        <v>16</v>
      </c>
      <c r="B11" s="1" t="s">
        <v>20</v>
      </c>
      <c r="C11" s="11">
        <v>20360</v>
      </c>
      <c r="D11" s="11"/>
      <c r="E11" s="11"/>
      <c r="F11" s="11"/>
      <c r="G11" s="11">
        <f t="shared" si="0"/>
        <v>20360</v>
      </c>
      <c r="H11" s="17">
        <f t="shared" si="1"/>
        <v>31.23</v>
      </c>
      <c r="I11" s="16">
        <f t="shared" si="2"/>
        <v>8.5000000000000006E-2</v>
      </c>
      <c r="J11" s="16">
        <f>ROUND(G11/23149-1,2)</f>
        <v>-0.12</v>
      </c>
    </row>
    <row r="12" spans="1:10" x14ac:dyDescent="0.25">
      <c r="A12" s="1" t="s">
        <v>16</v>
      </c>
      <c r="B12" s="1" t="s">
        <v>21</v>
      </c>
      <c r="C12" s="11"/>
      <c r="D12" s="11"/>
      <c r="E12" s="11">
        <v>52</v>
      </c>
      <c r="F12" s="11"/>
      <c r="G12" s="11">
        <f t="shared" si="0"/>
        <v>52</v>
      </c>
      <c r="H12" s="17">
        <f t="shared" si="1"/>
        <v>0.08</v>
      </c>
      <c r="I12" s="16">
        <f t="shared" si="2"/>
        <v>0</v>
      </c>
      <c r="J12" s="16">
        <f>ROUND(G12/58-1,2)</f>
        <v>-0.1</v>
      </c>
    </row>
    <row r="13" spans="1:10" x14ac:dyDescent="0.25">
      <c r="A13" s="1" t="s">
        <v>16</v>
      </c>
      <c r="B13" s="1" t="s">
        <v>22</v>
      </c>
      <c r="C13" s="11"/>
      <c r="D13" s="11"/>
      <c r="E13" s="11">
        <v>573</v>
      </c>
      <c r="F13" s="11"/>
      <c r="G13" s="11">
        <f t="shared" si="0"/>
        <v>573</v>
      </c>
      <c r="H13" s="17">
        <f t="shared" si="1"/>
        <v>0.88</v>
      </c>
      <c r="I13" s="16">
        <f t="shared" si="2"/>
        <v>2E-3</v>
      </c>
      <c r="J13" s="16">
        <f>ROUND(G13/996-1,2)</f>
        <v>-0.42</v>
      </c>
    </row>
    <row r="14" spans="1:10" x14ac:dyDescent="0.25">
      <c r="A14" s="1" t="s">
        <v>16</v>
      </c>
      <c r="B14" s="1" t="s">
        <v>23</v>
      </c>
      <c r="C14" s="11"/>
      <c r="D14" s="11"/>
      <c r="E14" s="11">
        <v>21280</v>
      </c>
      <c r="F14" s="11"/>
      <c r="G14" s="11">
        <f t="shared" si="0"/>
        <v>21280</v>
      </c>
      <c r="H14" s="17">
        <f t="shared" si="1"/>
        <v>32.64</v>
      </c>
      <c r="I14" s="16">
        <f t="shared" si="2"/>
        <v>8.7999999999999995E-2</v>
      </c>
      <c r="J14" s="16">
        <f>ROUND(G14/18372-1,2)</f>
        <v>0.16</v>
      </c>
    </row>
    <row r="15" spans="1:10" x14ac:dyDescent="0.25">
      <c r="A15" s="1" t="s">
        <v>16</v>
      </c>
      <c r="B15" s="1" t="s">
        <v>24</v>
      </c>
      <c r="C15" s="11">
        <v>19220</v>
      </c>
      <c r="D15" s="11"/>
      <c r="E15" s="11">
        <v>5902</v>
      </c>
      <c r="F15" s="11"/>
      <c r="G15" s="11">
        <f t="shared" si="0"/>
        <v>25122</v>
      </c>
      <c r="H15" s="17">
        <f t="shared" si="1"/>
        <v>38.53</v>
      </c>
      <c r="I15" s="16">
        <f t="shared" si="2"/>
        <v>0.104</v>
      </c>
      <c r="J15" s="16">
        <f>ROUND(G15/25425-1,2)</f>
        <v>-0.01</v>
      </c>
    </row>
    <row r="16" spans="1:10" x14ac:dyDescent="0.25">
      <c r="A16" s="1" t="s">
        <v>16</v>
      </c>
      <c r="B16" s="1" t="s">
        <v>25</v>
      </c>
      <c r="C16" s="11"/>
      <c r="D16" s="11"/>
      <c r="E16" s="11">
        <v>1634</v>
      </c>
      <c r="F16" s="11"/>
      <c r="G16" s="11">
        <f t="shared" si="0"/>
        <v>1634</v>
      </c>
      <c r="H16" s="17">
        <f t="shared" si="1"/>
        <v>2.5099999999999998</v>
      </c>
      <c r="I16" s="16">
        <f t="shared" si="2"/>
        <v>7.0000000000000001E-3</v>
      </c>
      <c r="J16" s="16">
        <f>ROUND(G16/1055-1,2)</f>
        <v>0.55000000000000004</v>
      </c>
    </row>
    <row r="17" spans="1:10" x14ac:dyDescent="0.25">
      <c r="A17" s="1" t="s">
        <v>16</v>
      </c>
      <c r="B17" s="1" t="s">
        <v>26</v>
      </c>
      <c r="C17" s="11">
        <v>15600</v>
      </c>
      <c r="D17" s="11"/>
      <c r="E17" s="11"/>
      <c r="F17" s="11"/>
      <c r="G17" s="11">
        <f t="shared" si="0"/>
        <v>15600</v>
      </c>
      <c r="H17" s="17">
        <f t="shared" si="1"/>
        <v>23.93</v>
      </c>
      <c r="I17" s="16">
        <f t="shared" si="2"/>
        <v>6.5000000000000002E-2</v>
      </c>
      <c r="J17" s="16">
        <f>ROUND(G17/21880-1,2)</f>
        <v>-0.28999999999999998</v>
      </c>
    </row>
    <row r="18" spans="1:10" x14ac:dyDescent="0.25">
      <c r="A18" s="1" t="s">
        <v>16</v>
      </c>
      <c r="B18" s="1" t="s">
        <v>27</v>
      </c>
      <c r="C18" s="11"/>
      <c r="D18" s="11"/>
      <c r="E18" s="11">
        <v>276</v>
      </c>
      <c r="F18" s="11"/>
      <c r="G18" s="11">
        <f t="shared" si="0"/>
        <v>276</v>
      </c>
      <c r="H18" s="17">
        <f t="shared" si="1"/>
        <v>0.42</v>
      </c>
      <c r="I18" s="16">
        <f t="shared" si="2"/>
        <v>1E-3</v>
      </c>
      <c r="J18" s="16">
        <f>ROUND(G18/236-1,2)</f>
        <v>0.17</v>
      </c>
    </row>
    <row r="19" spans="1:10" x14ac:dyDescent="0.25">
      <c r="A19" s="1" t="s">
        <v>16</v>
      </c>
      <c r="B19" s="1" t="s">
        <v>28</v>
      </c>
      <c r="C19" s="11"/>
      <c r="D19" s="11"/>
      <c r="E19" s="11">
        <v>123</v>
      </c>
      <c r="F19" s="11"/>
      <c r="G19" s="11">
        <f t="shared" si="0"/>
        <v>123</v>
      </c>
      <c r="H19" s="17">
        <f t="shared" si="1"/>
        <v>0.19</v>
      </c>
      <c r="I19" s="16">
        <f t="shared" si="2"/>
        <v>1E-3</v>
      </c>
      <c r="J19" s="16">
        <f>ROUND(G19/147-1,2)</f>
        <v>-0.16</v>
      </c>
    </row>
    <row r="20" spans="1:10" x14ac:dyDescent="0.25">
      <c r="A20" s="1" t="s">
        <v>16</v>
      </c>
      <c r="B20" s="1" t="s">
        <v>29</v>
      </c>
      <c r="C20" s="11"/>
      <c r="D20" s="11"/>
      <c r="E20" s="11">
        <v>43</v>
      </c>
      <c r="F20" s="11"/>
      <c r="G20" s="11">
        <f t="shared" si="0"/>
        <v>43</v>
      </c>
      <c r="H20" s="17">
        <f t="shared" si="1"/>
        <v>7.0000000000000007E-2</v>
      </c>
      <c r="I20" s="16">
        <f t="shared" si="2"/>
        <v>0</v>
      </c>
      <c r="J20" s="16">
        <f>ROUND(G20/42-1,2)</f>
        <v>0.02</v>
      </c>
    </row>
    <row r="21" spans="1:10" x14ac:dyDescent="0.25">
      <c r="A21" s="1" t="s">
        <v>16</v>
      </c>
      <c r="B21" s="1" t="s">
        <v>30</v>
      </c>
      <c r="C21" s="11"/>
      <c r="D21" s="11"/>
      <c r="E21" s="11">
        <v>1007</v>
      </c>
      <c r="F21" s="11"/>
      <c r="G21" s="11">
        <f t="shared" si="0"/>
        <v>1007</v>
      </c>
      <c r="H21" s="17">
        <f t="shared" si="1"/>
        <v>1.54</v>
      </c>
      <c r="I21" s="16">
        <f t="shared" si="2"/>
        <v>4.0000000000000001E-3</v>
      </c>
      <c r="J21" s="16">
        <f>ROUND(G21/1337-1,2)</f>
        <v>-0.25</v>
      </c>
    </row>
    <row r="22" spans="1:10" x14ac:dyDescent="0.25">
      <c r="A22" s="1" t="s">
        <v>16</v>
      </c>
      <c r="B22" s="1" t="s">
        <v>31</v>
      </c>
      <c r="C22" s="11"/>
      <c r="D22" s="11"/>
      <c r="E22" s="11">
        <v>136</v>
      </c>
      <c r="F22" s="11"/>
      <c r="G22" s="11">
        <f t="shared" si="0"/>
        <v>136</v>
      </c>
      <c r="H22" s="17">
        <f t="shared" si="1"/>
        <v>0.21</v>
      </c>
      <c r="I22" s="16">
        <f t="shared" si="2"/>
        <v>1E-3</v>
      </c>
      <c r="J22" s="16">
        <f>ROUND(G22/153-1,2)</f>
        <v>-0.11</v>
      </c>
    </row>
    <row r="23" spans="1:10" x14ac:dyDescent="0.25">
      <c r="A23" s="1" t="s">
        <v>16</v>
      </c>
      <c r="B23" s="1" t="s">
        <v>32</v>
      </c>
      <c r="C23" s="11"/>
      <c r="D23" s="11"/>
      <c r="E23" s="11">
        <v>207</v>
      </c>
      <c r="F23" s="11"/>
      <c r="G23" s="11">
        <f t="shared" si="0"/>
        <v>207</v>
      </c>
      <c r="H23" s="17">
        <f t="shared" si="1"/>
        <v>0.32</v>
      </c>
      <c r="I23" s="16">
        <f t="shared" si="2"/>
        <v>1E-3</v>
      </c>
      <c r="J23" s="16">
        <f>ROUND(G23/137-1,2)</f>
        <v>0.51</v>
      </c>
    </row>
    <row r="24" spans="1:10" x14ac:dyDescent="0.25">
      <c r="A24" s="1" t="s">
        <v>16</v>
      </c>
      <c r="B24" s="1" t="s">
        <v>33</v>
      </c>
      <c r="C24" s="11"/>
      <c r="D24" s="11"/>
      <c r="E24" s="11">
        <v>631</v>
      </c>
      <c r="F24" s="11"/>
      <c r="G24" s="11">
        <f t="shared" si="0"/>
        <v>631</v>
      </c>
      <c r="H24" s="17">
        <f t="shared" si="1"/>
        <v>0.97</v>
      </c>
      <c r="I24" s="16">
        <f t="shared" si="2"/>
        <v>3.0000000000000001E-3</v>
      </c>
      <c r="J24" s="16">
        <f>ROUND(G24/393-1,2)</f>
        <v>0.61</v>
      </c>
    </row>
    <row r="25" spans="1:10" x14ac:dyDescent="0.25">
      <c r="A25" s="1" t="s">
        <v>16</v>
      </c>
      <c r="B25" s="1" t="s">
        <v>34</v>
      </c>
      <c r="C25" s="11"/>
      <c r="D25" s="11"/>
      <c r="E25" s="11">
        <v>50</v>
      </c>
      <c r="F25" s="11"/>
      <c r="G25" s="11">
        <f t="shared" si="0"/>
        <v>50</v>
      </c>
      <c r="H25" s="17">
        <f t="shared" si="1"/>
        <v>0.08</v>
      </c>
      <c r="I25" s="16">
        <f t="shared" si="2"/>
        <v>0</v>
      </c>
      <c r="J25" s="16">
        <f>ROUND(G25/61-1,2)</f>
        <v>-0.18</v>
      </c>
    </row>
    <row r="26" spans="1:10" x14ac:dyDescent="0.25">
      <c r="A26" s="1" t="s">
        <v>16</v>
      </c>
      <c r="B26" s="1" t="s">
        <v>36</v>
      </c>
      <c r="C26" s="11"/>
      <c r="D26" s="11"/>
      <c r="E26" s="11">
        <v>132</v>
      </c>
      <c r="F26" s="11"/>
      <c r="G26" s="11">
        <f t="shared" si="0"/>
        <v>132</v>
      </c>
      <c r="H26" s="17">
        <f t="shared" si="1"/>
        <v>0.2</v>
      </c>
      <c r="I26" s="16">
        <f t="shared" si="2"/>
        <v>1E-3</v>
      </c>
      <c r="J26" s="16">
        <f>ROUND(G26/88-1,2)</f>
        <v>0.5</v>
      </c>
    </row>
    <row r="27" spans="1:10" x14ac:dyDescent="0.25">
      <c r="A27" s="1" t="s">
        <v>16</v>
      </c>
      <c r="B27" s="1" t="s">
        <v>35</v>
      </c>
      <c r="C27" s="11"/>
      <c r="D27" s="11"/>
      <c r="E27" s="11">
        <v>113</v>
      </c>
      <c r="F27" s="11"/>
      <c r="G27" s="11">
        <f t="shared" si="0"/>
        <v>113</v>
      </c>
      <c r="H27" s="17">
        <f t="shared" si="1"/>
        <v>0.17</v>
      </c>
      <c r="I27" s="16">
        <f t="shared" si="2"/>
        <v>0</v>
      </c>
      <c r="J27" s="16"/>
    </row>
    <row r="28" spans="1:10" x14ac:dyDescent="0.25">
      <c r="A28" s="1" t="s">
        <v>16</v>
      </c>
      <c r="B28" s="1" t="s">
        <v>37</v>
      </c>
      <c r="C28" s="11"/>
      <c r="D28" s="11"/>
      <c r="E28" s="11">
        <v>432</v>
      </c>
      <c r="F28" s="11"/>
      <c r="G28" s="11">
        <f t="shared" si="0"/>
        <v>432</v>
      </c>
      <c r="H28" s="17">
        <f t="shared" si="1"/>
        <v>0.66</v>
      </c>
      <c r="I28" s="16">
        <f t="shared" si="2"/>
        <v>2E-3</v>
      </c>
      <c r="J28" s="16">
        <f>ROUND(G28/417-1,2)</f>
        <v>0.04</v>
      </c>
    </row>
    <row r="29" spans="1:10" x14ac:dyDescent="0.25">
      <c r="A29" s="1" t="s">
        <v>16</v>
      </c>
      <c r="B29" s="1" t="s">
        <v>39</v>
      </c>
      <c r="C29" s="11"/>
      <c r="D29" s="11"/>
      <c r="E29" s="11">
        <v>2360</v>
      </c>
      <c r="F29" s="11"/>
      <c r="G29" s="11">
        <f t="shared" si="0"/>
        <v>2360</v>
      </c>
      <c r="H29" s="17">
        <f t="shared" si="1"/>
        <v>3.62</v>
      </c>
      <c r="I29" s="16">
        <f t="shared" si="2"/>
        <v>0.01</v>
      </c>
      <c r="J29" s="16">
        <f>ROUND(G29/1986-1,2)</f>
        <v>0.19</v>
      </c>
    </row>
    <row r="30" spans="1:10" x14ac:dyDescent="0.25">
      <c r="A30" s="1" t="s">
        <v>16</v>
      </c>
      <c r="B30" s="1" t="s">
        <v>38</v>
      </c>
      <c r="C30" s="11"/>
      <c r="D30" s="11"/>
      <c r="E30" s="11">
        <v>1186</v>
      </c>
      <c r="F30" s="11"/>
      <c r="G30" s="11">
        <f t="shared" si="0"/>
        <v>1186</v>
      </c>
      <c r="H30" s="17">
        <f t="shared" si="1"/>
        <v>1.82</v>
      </c>
      <c r="I30" s="16">
        <f t="shared" si="2"/>
        <v>5.0000000000000001E-3</v>
      </c>
      <c r="J30" s="16">
        <f>ROUND(G30/2184-1,2)</f>
        <v>-0.46</v>
      </c>
    </row>
    <row r="31" spans="1:10" x14ac:dyDescent="0.25">
      <c r="A31" s="1" t="s">
        <v>16</v>
      </c>
      <c r="B31" s="1" t="s">
        <v>40</v>
      </c>
      <c r="C31" s="11"/>
      <c r="D31" s="11"/>
      <c r="E31" s="11">
        <v>17878</v>
      </c>
      <c r="F31" s="11"/>
      <c r="G31" s="11">
        <f t="shared" si="0"/>
        <v>17878</v>
      </c>
      <c r="H31" s="17">
        <f t="shared" si="1"/>
        <v>27.42</v>
      </c>
      <c r="I31" s="16">
        <f t="shared" si="2"/>
        <v>7.3999999999999996E-2</v>
      </c>
      <c r="J31" s="16">
        <f>ROUND(G31/18736-1,2)</f>
        <v>-0.05</v>
      </c>
    </row>
    <row r="32" spans="1:10" x14ac:dyDescent="0.25">
      <c r="A32" s="1" t="s">
        <v>16</v>
      </c>
      <c r="B32" s="1" t="s">
        <v>42</v>
      </c>
      <c r="C32" s="11"/>
      <c r="D32" s="11"/>
      <c r="E32" s="11">
        <v>6770</v>
      </c>
      <c r="F32" s="11"/>
      <c r="G32" s="11">
        <f t="shared" si="0"/>
        <v>6770</v>
      </c>
      <c r="H32" s="17">
        <f t="shared" si="1"/>
        <v>10.38</v>
      </c>
      <c r="I32" s="16">
        <f t="shared" si="2"/>
        <v>2.8000000000000001E-2</v>
      </c>
      <c r="J32" s="16">
        <f>ROUND(G32/6807-1,2)</f>
        <v>-0.01</v>
      </c>
    </row>
    <row r="33" spans="1:10" x14ac:dyDescent="0.25">
      <c r="A33" s="1" t="s">
        <v>16</v>
      </c>
      <c r="B33" s="1" t="s">
        <v>44</v>
      </c>
      <c r="C33" s="11"/>
      <c r="D33" s="11"/>
      <c r="E33" s="11">
        <v>9715</v>
      </c>
      <c r="F33" s="11"/>
      <c r="G33" s="11">
        <f t="shared" si="0"/>
        <v>9715</v>
      </c>
      <c r="H33" s="17">
        <f t="shared" si="1"/>
        <v>14.9</v>
      </c>
      <c r="I33" s="16">
        <f t="shared" si="2"/>
        <v>0.04</v>
      </c>
      <c r="J33" s="16">
        <f>ROUND(G33/11096-1,2)</f>
        <v>-0.12</v>
      </c>
    </row>
    <row r="34" spans="1:10" x14ac:dyDescent="0.25">
      <c r="A34" s="1" t="s">
        <v>16</v>
      </c>
      <c r="B34" s="1" t="s">
        <v>41</v>
      </c>
      <c r="C34" s="11"/>
      <c r="D34" s="11"/>
      <c r="E34" s="11"/>
      <c r="F34" s="11"/>
      <c r="G34" s="11">
        <f t="shared" si="0"/>
        <v>0</v>
      </c>
      <c r="H34" s="17">
        <f t="shared" si="1"/>
        <v>0</v>
      </c>
      <c r="I34" s="16">
        <f t="shared" si="2"/>
        <v>0</v>
      </c>
      <c r="J34" s="16"/>
    </row>
    <row r="35" spans="1:10" x14ac:dyDescent="0.25">
      <c r="A35" s="1" t="s">
        <v>45</v>
      </c>
      <c r="B35" s="1" t="s">
        <v>46</v>
      </c>
      <c r="C35" s="11">
        <v>79030</v>
      </c>
      <c r="D35" s="11"/>
      <c r="E35" s="11"/>
      <c r="F35" s="11">
        <v>500</v>
      </c>
      <c r="G35" s="11">
        <f t="shared" si="0"/>
        <v>79530</v>
      </c>
      <c r="H35" s="17">
        <f t="shared" si="1"/>
        <v>121.98</v>
      </c>
      <c r="I35" s="16">
        <f t="shared" si="2"/>
        <v>0.33100000000000002</v>
      </c>
      <c r="J35" s="16">
        <f>ROUND(G35/75860-1,2)</f>
        <v>0.05</v>
      </c>
    </row>
    <row r="36" spans="1:10" x14ac:dyDescent="0.25">
      <c r="A36" s="1" t="s">
        <v>45</v>
      </c>
      <c r="B36" s="1" t="s">
        <v>47</v>
      </c>
      <c r="C36" s="11"/>
      <c r="D36" s="11"/>
      <c r="E36" s="11">
        <v>9887</v>
      </c>
      <c r="F36" s="11"/>
      <c r="G36" s="11">
        <f t="shared" si="0"/>
        <v>9887</v>
      </c>
      <c r="H36" s="17">
        <f t="shared" si="1"/>
        <v>15.16</v>
      </c>
      <c r="I36" s="16">
        <f t="shared" si="2"/>
        <v>4.1000000000000002E-2</v>
      </c>
      <c r="J36" s="16">
        <f>ROUND(G36/11085-1,2)</f>
        <v>-0.11</v>
      </c>
    </row>
    <row r="37" spans="1:10" x14ac:dyDescent="0.25">
      <c r="A37" s="1" t="s">
        <v>45</v>
      </c>
      <c r="B37" s="1" t="s">
        <v>48</v>
      </c>
      <c r="C37" s="11"/>
      <c r="D37" s="11"/>
      <c r="E37" s="11"/>
      <c r="F37" s="11"/>
      <c r="G37" s="11">
        <f t="shared" si="0"/>
        <v>0</v>
      </c>
      <c r="H37" s="17">
        <f t="shared" si="1"/>
        <v>0</v>
      </c>
      <c r="I37" s="16">
        <f t="shared" si="2"/>
        <v>0</v>
      </c>
      <c r="J37" s="16"/>
    </row>
    <row r="38" spans="1:10" x14ac:dyDescent="0.25">
      <c r="A38" s="1" t="s">
        <v>49</v>
      </c>
      <c r="B38" s="1" t="s">
        <v>52</v>
      </c>
      <c r="C38" s="11"/>
      <c r="D38" s="11"/>
      <c r="E38" s="11"/>
      <c r="F38" s="11"/>
      <c r="G38" s="11">
        <f t="shared" si="0"/>
        <v>0</v>
      </c>
      <c r="H38" s="17">
        <f t="shared" si="1"/>
        <v>0</v>
      </c>
      <c r="I38" s="16">
        <f t="shared" si="2"/>
        <v>0</v>
      </c>
      <c r="J38" s="16"/>
    </row>
    <row r="39" spans="1:10" x14ac:dyDescent="0.25">
      <c r="A39" s="26" t="s">
        <v>12</v>
      </c>
      <c r="B39" s="26"/>
      <c r="C39" s="12">
        <f t="shared" ref="C39:H39" si="3">SUM(C8:C38)</f>
        <v>156710</v>
      </c>
      <c r="D39" s="12">
        <f t="shared" si="3"/>
        <v>0</v>
      </c>
      <c r="E39" s="12">
        <f t="shared" si="3"/>
        <v>83408</v>
      </c>
      <c r="F39" s="12">
        <f t="shared" si="3"/>
        <v>500</v>
      </c>
      <c r="G39" s="12">
        <f t="shared" si="3"/>
        <v>240618</v>
      </c>
      <c r="H39" s="15">
        <f t="shared" si="3"/>
        <v>369.05999999999995</v>
      </c>
      <c r="I39" s="18"/>
      <c r="J39" s="18"/>
    </row>
    <row r="40" spans="1:10" x14ac:dyDescent="0.25">
      <c r="A40" s="26" t="s">
        <v>14</v>
      </c>
      <c r="B40" s="26"/>
      <c r="C40" s="13">
        <f>ROUND(C39/G39,2)</f>
        <v>0.65</v>
      </c>
      <c r="D40" s="13">
        <f>ROUND(D39/G39,2)</f>
        <v>0</v>
      </c>
      <c r="E40" s="13">
        <f>ROUND(E39/G39,2)</f>
        <v>0.35</v>
      </c>
      <c r="F40" s="13">
        <f>ROUND(F39/G39,2)</f>
        <v>0</v>
      </c>
      <c r="G40" s="14"/>
      <c r="H40" s="14"/>
      <c r="I40" s="18"/>
      <c r="J40" s="18"/>
    </row>
    <row r="41" spans="1:10" x14ac:dyDescent="0.25">
      <c r="A41" s="2" t="s">
        <v>53</v>
      </c>
      <c r="B41" s="2"/>
      <c r="C41" s="14"/>
      <c r="D41" s="14"/>
      <c r="E41" s="14"/>
      <c r="F41" s="14"/>
      <c r="G41" s="14"/>
      <c r="H41" s="14"/>
      <c r="I41" s="18"/>
      <c r="J41" s="18"/>
    </row>
    <row r="42" spans="1:10" x14ac:dyDescent="0.25">
      <c r="C42" s="9"/>
      <c r="D42" s="9"/>
      <c r="E42" s="9"/>
      <c r="F42" s="9"/>
      <c r="G42" s="9"/>
      <c r="H42" s="9"/>
      <c r="I42" s="10"/>
      <c r="J42" s="10"/>
    </row>
    <row r="43" spans="1:10" x14ac:dyDescent="0.25">
      <c r="C43" s="9"/>
      <c r="D43" s="9"/>
      <c r="E43" s="9"/>
      <c r="F43" s="9"/>
      <c r="G43" s="9"/>
      <c r="H43" s="9"/>
      <c r="I43" s="10"/>
      <c r="J43" s="10"/>
    </row>
    <row r="44" spans="1:10" x14ac:dyDescent="0.25">
      <c r="C44" s="9"/>
      <c r="D44" s="9"/>
      <c r="E44" s="9"/>
      <c r="F44" s="9"/>
      <c r="G44" s="9"/>
      <c r="H44" s="9"/>
      <c r="I44" s="10"/>
      <c r="J44" s="10"/>
    </row>
    <row r="45" spans="1:10" x14ac:dyDescent="0.25">
      <c r="A45" s="26" t="s">
        <v>54</v>
      </c>
      <c r="B45" s="26"/>
      <c r="C45" s="12" t="s">
        <v>8</v>
      </c>
      <c r="D45" s="12" t="s">
        <v>9</v>
      </c>
      <c r="E45" s="12" t="s">
        <v>10</v>
      </c>
      <c r="F45" s="12" t="s">
        <v>11</v>
      </c>
      <c r="G45" s="12" t="s">
        <v>12</v>
      </c>
      <c r="H45" s="15" t="s">
        <v>13</v>
      </c>
      <c r="I45" s="18"/>
      <c r="J45" s="18"/>
    </row>
    <row r="46" spans="1:10" x14ac:dyDescent="0.25">
      <c r="A46" s="21" t="s">
        <v>55</v>
      </c>
      <c r="B46" s="21"/>
      <c r="C46" s="11">
        <v>77680</v>
      </c>
      <c r="D46" s="11">
        <v>0</v>
      </c>
      <c r="E46" s="11">
        <v>73521</v>
      </c>
      <c r="F46" s="11">
        <v>0</v>
      </c>
      <c r="G46" s="11">
        <f>SUM(C46:F46)</f>
        <v>151201</v>
      </c>
      <c r="H46" s="17">
        <f>ROUND(G46/652,2)</f>
        <v>231.9</v>
      </c>
      <c r="I46" s="10"/>
      <c r="J46" s="10"/>
    </row>
    <row r="47" spans="1:10" x14ac:dyDescent="0.25">
      <c r="A47" s="21" t="s">
        <v>56</v>
      </c>
      <c r="B47" s="21"/>
      <c r="C47" s="11">
        <v>79030</v>
      </c>
      <c r="D47" s="11">
        <v>0</v>
      </c>
      <c r="E47" s="11">
        <v>9887</v>
      </c>
      <c r="F47" s="11">
        <v>500</v>
      </c>
      <c r="G47" s="11">
        <f>SUM(C47:F47)</f>
        <v>89417</v>
      </c>
      <c r="H47" s="17">
        <f>ROUND(G47/652,2)</f>
        <v>137.13999999999999</v>
      </c>
      <c r="I47" s="10"/>
      <c r="J47" s="10"/>
    </row>
    <row r="48" spans="1:10" x14ac:dyDescent="0.25">
      <c r="A48" s="21" t="s">
        <v>57</v>
      </c>
      <c r="B48" s="21"/>
      <c r="C48" s="11">
        <v>0</v>
      </c>
      <c r="D48" s="11">
        <v>0</v>
      </c>
      <c r="E48" s="11">
        <v>0</v>
      </c>
      <c r="F48" s="11">
        <v>0</v>
      </c>
      <c r="G48" s="11">
        <f>SUM(C48:F48)</f>
        <v>0</v>
      </c>
      <c r="H48" s="17">
        <f>ROUND(G48/652,2)</f>
        <v>0</v>
      </c>
      <c r="I48" s="10"/>
      <c r="J48" s="10"/>
    </row>
    <row r="49" spans="1:10" x14ac:dyDescent="0.25">
      <c r="C49" s="9"/>
      <c r="D49" s="9"/>
      <c r="E49" s="9"/>
      <c r="F49" s="9"/>
      <c r="G49" s="9"/>
      <c r="H49" s="9"/>
      <c r="I49" s="10"/>
      <c r="J49" s="10"/>
    </row>
    <row r="50" spans="1:10" x14ac:dyDescent="0.25">
      <c r="C50" s="9"/>
      <c r="D50" s="9"/>
      <c r="E50" s="9"/>
      <c r="F50" s="9"/>
      <c r="G50" s="9"/>
      <c r="H50" s="9"/>
      <c r="I50" s="10"/>
      <c r="J50" s="10"/>
    </row>
    <row r="51" spans="1:10" x14ac:dyDescent="0.25">
      <c r="C51" s="9"/>
      <c r="D51" s="9"/>
      <c r="E51" s="9"/>
      <c r="F51" s="9"/>
      <c r="G51" s="9"/>
      <c r="H51" s="9"/>
      <c r="I51" s="10"/>
      <c r="J51" s="10"/>
    </row>
    <row r="52" spans="1:10" x14ac:dyDescent="0.25">
      <c r="C52" s="9"/>
      <c r="D52" s="9"/>
      <c r="E52" s="9"/>
      <c r="F52" s="9"/>
      <c r="G52" s="9"/>
      <c r="H52" s="9"/>
      <c r="I52" s="10"/>
      <c r="J52" s="10"/>
    </row>
    <row r="53" spans="1:10" x14ac:dyDescent="0.25">
      <c r="A53" s="26" t="s">
        <v>58</v>
      </c>
      <c r="B53" s="26"/>
      <c r="C53" s="15" t="s">
        <v>2</v>
      </c>
      <c r="D53" s="15">
        <v>2024</v>
      </c>
      <c r="E53" s="15" t="s">
        <v>60</v>
      </c>
      <c r="F53" s="14"/>
      <c r="G53" s="15" t="s">
        <v>61</v>
      </c>
      <c r="H53" s="15" t="s">
        <v>2</v>
      </c>
      <c r="I53" s="13" t="s">
        <v>62</v>
      </c>
      <c r="J53" s="13" t="s">
        <v>60</v>
      </c>
    </row>
    <row r="54" spans="1:10" x14ac:dyDescent="0.25">
      <c r="A54" s="21" t="s">
        <v>59</v>
      </c>
      <c r="B54" s="21"/>
      <c r="C54" s="16">
        <f>ROUND(0.6365, 4)</f>
        <v>0.63649999999999995</v>
      </c>
      <c r="D54" s="16">
        <f>ROUND(0.6655, 4)</f>
        <v>0.66549999999999998</v>
      </c>
      <c r="E54" s="16">
        <f>ROUND(0.7856, 4)</f>
        <v>0.78559999999999997</v>
      </c>
      <c r="F54" s="9"/>
      <c r="G54" s="15" t="s">
        <v>63</v>
      </c>
      <c r="H54" s="27" t="s">
        <v>64</v>
      </c>
      <c r="I54" s="24" t="s">
        <v>65</v>
      </c>
      <c r="J54" s="24" t="s">
        <v>66</v>
      </c>
    </row>
    <row r="55" spans="1:10" x14ac:dyDescent="0.25">
      <c r="A55" s="21" t="s">
        <v>67</v>
      </c>
      <c r="B55" s="21"/>
      <c r="C55" s="16">
        <f>ROUND(0.6365, 4)</f>
        <v>0.63649999999999995</v>
      </c>
      <c r="D55" s="16">
        <f>ROUND(0.6222, 4)</f>
        <v>0.62219999999999998</v>
      </c>
      <c r="E55" s="16">
        <f>ROUND(0.7702, 4)</f>
        <v>0.7702</v>
      </c>
      <c r="F55" s="9"/>
      <c r="G55" s="15" t="s">
        <v>68</v>
      </c>
      <c r="H55" s="28"/>
      <c r="I55" s="25"/>
      <c r="J55" s="25"/>
    </row>
    <row r="56" spans="1:10" x14ac:dyDescent="0.25">
      <c r="C56" s="9"/>
      <c r="D56" s="9"/>
      <c r="E56" s="9"/>
      <c r="F56" s="9"/>
      <c r="G56" s="9"/>
      <c r="H56" s="9"/>
      <c r="I56" s="10"/>
      <c r="J56" s="10"/>
    </row>
    <row r="57" spans="1:10" x14ac:dyDescent="0.25">
      <c r="C57" s="9"/>
      <c r="D57" s="9"/>
      <c r="E57" s="9"/>
      <c r="F57" s="9"/>
      <c r="G57" s="9"/>
      <c r="H57" s="9"/>
      <c r="I57" s="10"/>
      <c r="J57" s="10"/>
    </row>
    <row r="58" spans="1:10" x14ac:dyDescent="0.25">
      <c r="C58" s="9"/>
      <c r="D58" s="9"/>
      <c r="E58" s="9"/>
      <c r="F58" s="9"/>
      <c r="G58" s="9"/>
      <c r="H58" s="9"/>
      <c r="I58" s="10"/>
      <c r="J58" s="10"/>
    </row>
    <row r="59" spans="1:10" x14ac:dyDescent="0.25">
      <c r="A59" s="26" t="s">
        <v>69</v>
      </c>
      <c r="B59" s="26"/>
      <c r="C59" s="15" t="s">
        <v>2</v>
      </c>
      <c r="D59" s="15" t="s">
        <v>189</v>
      </c>
      <c r="E59" s="15" t="s">
        <v>71</v>
      </c>
      <c r="F59" s="15" t="s">
        <v>72</v>
      </c>
      <c r="G59" s="15" t="s">
        <v>73</v>
      </c>
      <c r="H59" s="14"/>
      <c r="I59" s="18"/>
      <c r="J59" s="18"/>
    </row>
    <row r="60" spans="1:10" x14ac:dyDescent="0.25">
      <c r="A60" s="21" t="s">
        <v>74</v>
      </c>
      <c r="B60" s="21"/>
      <c r="C60" s="17">
        <v>121.98</v>
      </c>
      <c r="D60" s="17">
        <v>101.53</v>
      </c>
      <c r="E60" s="17">
        <v>96.15</v>
      </c>
      <c r="F60" s="17">
        <v>57.94</v>
      </c>
      <c r="G60" s="17">
        <f>12/12*C60</f>
        <v>121.98</v>
      </c>
      <c r="H60" s="9"/>
      <c r="I60" s="10"/>
      <c r="J60" s="10"/>
    </row>
    <row r="61" spans="1:10" x14ac:dyDescent="0.25">
      <c r="A61" s="21" t="s">
        <v>75</v>
      </c>
      <c r="B61" s="21"/>
      <c r="C61" s="17">
        <v>23.93</v>
      </c>
      <c r="D61" s="17">
        <v>33.450000000000003</v>
      </c>
      <c r="E61" s="17">
        <v>62.28</v>
      </c>
      <c r="F61" s="17">
        <v>66.599999999999994</v>
      </c>
      <c r="G61" s="17">
        <f>12/12*C61</f>
        <v>23.93</v>
      </c>
      <c r="H61" s="9"/>
      <c r="I61" s="10"/>
      <c r="J61" s="10"/>
    </row>
    <row r="62" spans="1:10" x14ac:dyDescent="0.25">
      <c r="A62" s="21" t="s">
        <v>76</v>
      </c>
      <c r="B62" s="21"/>
      <c r="C62" s="17">
        <v>231.9</v>
      </c>
      <c r="D62" s="17">
        <v>203.83</v>
      </c>
      <c r="E62" s="17">
        <v>300.02</v>
      </c>
      <c r="F62" s="17">
        <v>295.08</v>
      </c>
      <c r="G62" s="17">
        <f>12/12*C62</f>
        <v>231.9</v>
      </c>
      <c r="H62" s="9"/>
      <c r="I62" s="10"/>
      <c r="J62" s="10"/>
    </row>
    <row r="63" spans="1:10" x14ac:dyDescent="0.25">
      <c r="A63" s="21" t="s">
        <v>77</v>
      </c>
      <c r="B63" s="21"/>
      <c r="C63" s="17">
        <v>137.13999999999999</v>
      </c>
      <c r="D63" s="17">
        <v>115.1</v>
      </c>
      <c r="E63" s="17">
        <v>120.96</v>
      </c>
      <c r="F63" s="17">
        <v>83.12</v>
      </c>
      <c r="G63" s="17">
        <f>12/12*C63</f>
        <v>137.13999999999999</v>
      </c>
      <c r="H63" s="9"/>
      <c r="I63" s="10"/>
      <c r="J63" s="10"/>
    </row>
    <row r="64" spans="1:10" x14ac:dyDescent="0.25">
      <c r="C64" s="9"/>
      <c r="D64" s="9"/>
      <c r="E64" s="9"/>
      <c r="F64" s="9"/>
      <c r="G64" s="9"/>
      <c r="H64" s="9"/>
      <c r="I64" s="10"/>
      <c r="J64" s="10"/>
    </row>
    <row r="65" spans="1:10" x14ac:dyDescent="0.25">
      <c r="C65" s="9"/>
      <c r="D65" s="9"/>
      <c r="E65" s="9"/>
      <c r="F65" s="9"/>
      <c r="G65" s="9"/>
      <c r="H65" s="9"/>
      <c r="I65" s="10"/>
      <c r="J65" s="10"/>
    </row>
    <row r="66" spans="1:10" x14ac:dyDescent="0.25">
      <c r="A66" s="22" t="s">
        <v>61</v>
      </c>
      <c r="B66" s="23"/>
      <c r="C66" s="9"/>
      <c r="D66" s="9"/>
      <c r="E66" s="9"/>
      <c r="F66" s="9"/>
      <c r="G66" s="9"/>
      <c r="H66" s="9"/>
      <c r="I66" s="10"/>
      <c r="J66" s="10"/>
    </row>
    <row r="67" spans="1:10" x14ac:dyDescent="0.25">
      <c r="A67" s="3" t="s">
        <v>78</v>
      </c>
      <c r="B67" s="1" t="s">
        <v>190</v>
      </c>
      <c r="C67" s="9"/>
      <c r="D67" s="9"/>
      <c r="E67" s="9"/>
      <c r="F67" s="9"/>
      <c r="G67" s="9"/>
      <c r="H67" s="9"/>
      <c r="I67" s="10"/>
      <c r="J67" s="10"/>
    </row>
    <row r="68" spans="1:10" x14ac:dyDescent="0.25">
      <c r="A68" s="3" t="s">
        <v>71</v>
      </c>
      <c r="B68" s="1" t="s">
        <v>80</v>
      </c>
      <c r="C68" s="9"/>
      <c r="D68" s="9"/>
      <c r="E68" s="9"/>
      <c r="F68" s="9"/>
      <c r="G68" s="9"/>
      <c r="H68" s="9"/>
      <c r="I68" s="10"/>
      <c r="J68" s="10"/>
    </row>
    <row r="69" spans="1:10" x14ac:dyDescent="0.25">
      <c r="A69" s="3" t="s">
        <v>72</v>
      </c>
      <c r="B69" s="1" t="s">
        <v>81</v>
      </c>
      <c r="C69" s="9"/>
      <c r="D69" s="9"/>
      <c r="E69" s="9"/>
      <c r="F69" s="9"/>
      <c r="G69" s="9"/>
      <c r="H69" s="9"/>
      <c r="I69" s="10"/>
      <c r="J69" s="10"/>
    </row>
    <row r="70" spans="1:10" x14ac:dyDescent="0.25">
      <c r="A70" s="3" t="s">
        <v>73</v>
      </c>
      <c r="B70" s="1" t="s">
        <v>82</v>
      </c>
      <c r="C70" s="9"/>
      <c r="D70" s="9"/>
      <c r="E70" s="9"/>
      <c r="F70" s="9"/>
      <c r="G70" s="9"/>
      <c r="H70" s="9"/>
      <c r="I70" s="10"/>
      <c r="J70" s="10"/>
    </row>
    <row r="71" spans="1:10" x14ac:dyDescent="0.25">
      <c r="C71" s="9"/>
      <c r="D71" s="9"/>
      <c r="E71" s="9"/>
      <c r="F71" s="9"/>
      <c r="G71" s="9"/>
      <c r="H71" s="9"/>
      <c r="I71" s="10"/>
      <c r="J71" s="10"/>
    </row>
    <row r="72" spans="1:10" x14ac:dyDescent="0.25">
      <c r="C72" s="9"/>
      <c r="D72" s="9"/>
      <c r="E72" s="9"/>
      <c r="F72" s="9"/>
      <c r="G72" s="9"/>
      <c r="H72" s="9"/>
      <c r="I72" s="10"/>
      <c r="J72" s="10"/>
    </row>
    <row r="73" spans="1:10" x14ac:dyDescent="0.25">
      <c r="C73" s="9"/>
      <c r="D73" s="9"/>
      <c r="E73" s="9"/>
      <c r="F73" s="9"/>
      <c r="G73" s="9"/>
      <c r="H73" s="9"/>
      <c r="I73" s="10"/>
      <c r="J73" s="10"/>
    </row>
    <row r="74" spans="1:10" x14ac:dyDescent="0.25">
      <c r="C74" s="9"/>
      <c r="D74" s="9"/>
      <c r="E74" s="9"/>
      <c r="F74" s="9"/>
      <c r="G74" s="9"/>
      <c r="H74" s="9"/>
      <c r="I74" s="10"/>
      <c r="J74" s="10"/>
    </row>
  </sheetData>
  <mergeCells count="19">
    <mergeCell ref="C7:G7"/>
    <mergeCell ref="A39:B39"/>
    <mergeCell ref="A40:B40"/>
    <mergeCell ref="A45:B45"/>
    <mergeCell ref="A46:B46"/>
    <mergeCell ref="J54:J55"/>
    <mergeCell ref="A55:B55"/>
    <mergeCell ref="A59:B59"/>
    <mergeCell ref="A60:B60"/>
    <mergeCell ref="A47:B47"/>
    <mergeCell ref="A48:B48"/>
    <mergeCell ref="A53:B53"/>
    <mergeCell ref="A54:B54"/>
    <mergeCell ref="H54:H55"/>
    <mergeCell ref="A61:B61"/>
    <mergeCell ref="A62:B62"/>
    <mergeCell ref="A63:B63"/>
    <mergeCell ref="A66:B66"/>
    <mergeCell ref="I54:I55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J74"/>
  <sheetViews>
    <sheetView workbookViewId="0">
      <selection activeCell="H5" sqref="H5"/>
    </sheetView>
  </sheetViews>
  <sheetFormatPr defaultRowHeight="15" x14ac:dyDescent="0.25"/>
  <cols>
    <col min="1" max="1" width="28.42578125" bestFit="1" customWidth="1"/>
    <col min="2" max="2" width="59.5703125" bestFit="1" customWidth="1"/>
    <col min="3" max="3" width="12.7109375" bestFit="1" customWidth="1"/>
    <col min="4" max="4" width="22.140625" bestFit="1" customWidth="1"/>
    <col min="5" max="5" width="13.85546875" bestFit="1" customWidth="1"/>
    <col min="6" max="6" width="8.5703125" bestFit="1" customWidth="1"/>
    <col min="7" max="7" width="47.7109375" bestFit="1" customWidth="1"/>
    <col min="8" max="9" width="16.7109375" bestFit="1" customWidth="1"/>
    <col min="10" max="10" width="24.42578125" bestFit="1" customWidth="1"/>
  </cols>
  <sheetData>
    <row r="2" spans="1:10" ht="18.75" x14ac:dyDescent="0.3">
      <c r="A2" s="3" t="s">
        <v>0</v>
      </c>
      <c r="B2" s="4" t="s">
        <v>191</v>
      </c>
    </row>
    <row r="3" spans="1:10" x14ac:dyDescent="0.25">
      <c r="A3" s="3" t="s">
        <v>2</v>
      </c>
      <c r="B3" s="1" t="s">
        <v>3</v>
      </c>
    </row>
    <row r="4" spans="1:10" x14ac:dyDescent="0.25">
      <c r="A4" s="3" t="s">
        <v>4</v>
      </c>
      <c r="B4" s="20">
        <v>3611</v>
      </c>
    </row>
    <row r="7" spans="1:10" x14ac:dyDescent="0.25">
      <c r="C7" s="22" t="s">
        <v>5</v>
      </c>
      <c r="D7" s="21"/>
      <c r="E7" s="21"/>
      <c r="F7" s="21"/>
      <c r="G7" s="21"/>
    </row>
    <row r="8" spans="1:10" x14ac:dyDescent="0.25">
      <c r="A8" s="3" t="s">
        <v>6</v>
      </c>
      <c r="B8" s="3" t="s">
        <v>7</v>
      </c>
      <c r="C8" s="15" t="s">
        <v>8</v>
      </c>
      <c r="D8" s="15" t="s">
        <v>9</v>
      </c>
      <c r="E8" s="15" t="s">
        <v>10</v>
      </c>
      <c r="F8" s="15" t="s">
        <v>11</v>
      </c>
      <c r="G8" s="15" t="s">
        <v>12</v>
      </c>
      <c r="H8" s="15" t="s">
        <v>13</v>
      </c>
      <c r="I8" s="15" t="s">
        <v>14</v>
      </c>
      <c r="J8" s="15" t="s">
        <v>15</v>
      </c>
    </row>
    <row r="9" spans="1:10" x14ac:dyDescent="0.25">
      <c r="A9" s="1" t="s">
        <v>16</v>
      </c>
      <c r="B9" s="1" t="s">
        <v>17</v>
      </c>
      <c r="C9" s="11"/>
      <c r="D9" s="11"/>
      <c r="E9" s="11">
        <v>75</v>
      </c>
      <c r="F9" s="11"/>
      <c r="G9" s="11">
        <f t="shared" ref="G9:G42" si="0">SUM(C9:F9)</f>
        <v>75</v>
      </c>
      <c r="H9" s="17">
        <f t="shared" ref="H9:H42" si="1">ROUND(G9/3611,2)</f>
        <v>0.02</v>
      </c>
      <c r="I9" s="16">
        <f t="shared" ref="I9:I42" si="2">ROUND(G9/$G$43,3)</f>
        <v>0</v>
      </c>
      <c r="J9" s="16">
        <f>ROUND(G9/130-1,2)</f>
        <v>-0.42</v>
      </c>
    </row>
    <row r="10" spans="1:10" x14ac:dyDescent="0.25">
      <c r="A10" s="1" t="s">
        <v>16</v>
      </c>
      <c r="B10" s="1" t="s">
        <v>19</v>
      </c>
      <c r="C10" s="11">
        <v>113500</v>
      </c>
      <c r="D10" s="11"/>
      <c r="E10" s="11">
        <v>2930</v>
      </c>
      <c r="F10" s="11">
        <v>620</v>
      </c>
      <c r="G10" s="11">
        <f t="shared" si="0"/>
        <v>117050</v>
      </c>
      <c r="H10" s="17">
        <f t="shared" si="1"/>
        <v>32.409999999999997</v>
      </c>
      <c r="I10" s="16">
        <f t="shared" si="2"/>
        <v>9.1999999999999998E-2</v>
      </c>
      <c r="J10" s="16">
        <f>ROUND(G10/121720-1,2)</f>
        <v>-0.04</v>
      </c>
    </row>
    <row r="11" spans="1:10" x14ac:dyDescent="0.25">
      <c r="A11" s="1" t="s">
        <v>16</v>
      </c>
      <c r="B11" s="1" t="s">
        <v>20</v>
      </c>
      <c r="C11" s="11">
        <v>114170</v>
      </c>
      <c r="D11" s="11"/>
      <c r="E11" s="11"/>
      <c r="F11" s="11"/>
      <c r="G11" s="11">
        <f t="shared" si="0"/>
        <v>114170</v>
      </c>
      <c r="H11" s="17">
        <f t="shared" si="1"/>
        <v>31.62</v>
      </c>
      <c r="I11" s="16">
        <f t="shared" si="2"/>
        <v>8.8999999999999996E-2</v>
      </c>
      <c r="J11" s="16">
        <f>ROUND(G11/121910-1,2)</f>
        <v>-0.06</v>
      </c>
    </row>
    <row r="12" spans="1:10" x14ac:dyDescent="0.25">
      <c r="A12" s="1" t="s">
        <v>16</v>
      </c>
      <c r="B12" s="1" t="s">
        <v>87</v>
      </c>
      <c r="C12" s="11"/>
      <c r="D12" s="11"/>
      <c r="E12" s="11">
        <v>128</v>
      </c>
      <c r="F12" s="11"/>
      <c r="G12" s="11">
        <f t="shared" si="0"/>
        <v>128</v>
      </c>
      <c r="H12" s="17">
        <f t="shared" si="1"/>
        <v>0.04</v>
      </c>
      <c r="I12" s="16">
        <f t="shared" si="2"/>
        <v>0</v>
      </c>
      <c r="J12" s="16">
        <f>ROUND(G12/196-1,2)</f>
        <v>-0.35</v>
      </c>
    </row>
    <row r="13" spans="1:10" x14ac:dyDescent="0.25">
      <c r="A13" s="1" t="s">
        <v>16</v>
      </c>
      <c r="B13" s="1" t="s">
        <v>21</v>
      </c>
      <c r="C13" s="11"/>
      <c r="D13" s="11"/>
      <c r="E13" s="11">
        <v>408</v>
      </c>
      <c r="F13" s="11"/>
      <c r="G13" s="11">
        <f t="shared" si="0"/>
        <v>408</v>
      </c>
      <c r="H13" s="17">
        <f t="shared" si="1"/>
        <v>0.11</v>
      </c>
      <c r="I13" s="16">
        <f t="shared" si="2"/>
        <v>0</v>
      </c>
      <c r="J13" s="16">
        <f>ROUND(G13/748-1,2)</f>
        <v>-0.45</v>
      </c>
    </row>
    <row r="14" spans="1:10" x14ac:dyDescent="0.25">
      <c r="A14" s="1" t="s">
        <v>16</v>
      </c>
      <c r="B14" s="1" t="s">
        <v>22</v>
      </c>
      <c r="C14" s="11"/>
      <c r="D14" s="11"/>
      <c r="E14" s="11">
        <v>1800</v>
      </c>
      <c r="F14" s="11"/>
      <c r="G14" s="11">
        <f t="shared" si="0"/>
        <v>1800</v>
      </c>
      <c r="H14" s="17">
        <f t="shared" si="1"/>
        <v>0.5</v>
      </c>
      <c r="I14" s="16">
        <f t="shared" si="2"/>
        <v>1E-3</v>
      </c>
      <c r="J14" s="16">
        <f>ROUND(G14/1280-1,2)</f>
        <v>0.41</v>
      </c>
    </row>
    <row r="15" spans="1:10" x14ac:dyDescent="0.25">
      <c r="A15" s="1" t="s">
        <v>16</v>
      </c>
      <c r="B15" s="1" t="s">
        <v>23</v>
      </c>
      <c r="C15" s="11"/>
      <c r="D15" s="11"/>
      <c r="E15" s="11">
        <v>82100</v>
      </c>
      <c r="F15" s="11"/>
      <c r="G15" s="11">
        <f t="shared" si="0"/>
        <v>82100</v>
      </c>
      <c r="H15" s="17">
        <f t="shared" si="1"/>
        <v>22.74</v>
      </c>
      <c r="I15" s="16">
        <f t="shared" si="2"/>
        <v>6.4000000000000001E-2</v>
      </c>
      <c r="J15" s="16">
        <f>ROUND(G15/143180-1,2)</f>
        <v>-0.43</v>
      </c>
    </row>
    <row r="16" spans="1:10" x14ac:dyDescent="0.25">
      <c r="A16" s="1" t="s">
        <v>16</v>
      </c>
      <c r="B16" s="1" t="s">
        <v>24</v>
      </c>
      <c r="C16" s="11">
        <v>164250</v>
      </c>
      <c r="D16" s="11"/>
      <c r="E16" s="11">
        <v>14680</v>
      </c>
      <c r="F16" s="11">
        <v>40</v>
      </c>
      <c r="G16" s="11">
        <f t="shared" si="0"/>
        <v>178970</v>
      </c>
      <c r="H16" s="17">
        <f t="shared" si="1"/>
        <v>49.56</v>
      </c>
      <c r="I16" s="16">
        <f t="shared" si="2"/>
        <v>0.14000000000000001</v>
      </c>
      <c r="J16" s="16">
        <f>ROUND(G16/178480-1,2)</f>
        <v>0</v>
      </c>
    </row>
    <row r="17" spans="1:10" x14ac:dyDescent="0.25">
      <c r="A17" s="1" t="s">
        <v>16</v>
      </c>
      <c r="B17" s="1" t="s">
        <v>25</v>
      </c>
      <c r="C17" s="11"/>
      <c r="D17" s="11"/>
      <c r="E17" s="11">
        <v>9110</v>
      </c>
      <c r="F17" s="11"/>
      <c r="G17" s="11">
        <f t="shared" si="0"/>
        <v>9110</v>
      </c>
      <c r="H17" s="17">
        <f t="shared" si="1"/>
        <v>2.52</v>
      </c>
      <c r="I17" s="16">
        <f t="shared" si="2"/>
        <v>7.0000000000000001E-3</v>
      </c>
      <c r="J17" s="16">
        <f>ROUND(G17/12390-1,2)</f>
        <v>-0.26</v>
      </c>
    </row>
    <row r="18" spans="1:10" x14ac:dyDescent="0.25">
      <c r="A18" s="1" t="s">
        <v>16</v>
      </c>
      <c r="B18" s="1" t="s">
        <v>26</v>
      </c>
      <c r="C18" s="11">
        <v>200940</v>
      </c>
      <c r="D18" s="11"/>
      <c r="E18" s="11"/>
      <c r="F18" s="11">
        <v>2260</v>
      </c>
      <c r="G18" s="11">
        <f t="shared" si="0"/>
        <v>203200</v>
      </c>
      <c r="H18" s="17">
        <f t="shared" si="1"/>
        <v>56.27</v>
      </c>
      <c r="I18" s="16">
        <f t="shared" si="2"/>
        <v>0.159</v>
      </c>
      <c r="J18" s="16">
        <f>ROUND(G18/201700-1,2)</f>
        <v>0.01</v>
      </c>
    </row>
    <row r="19" spans="1:10" x14ac:dyDescent="0.25">
      <c r="A19" s="1" t="s">
        <v>16</v>
      </c>
      <c r="B19" s="1" t="s">
        <v>27</v>
      </c>
      <c r="C19" s="11"/>
      <c r="D19" s="11"/>
      <c r="E19" s="11">
        <v>1345</v>
      </c>
      <c r="F19" s="11"/>
      <c r="G19" s="11">
        <f t="shared" si="0"/>
        <v>1345</v>
      </c>
      <c r="H19" s="17">
        <f t="shared" si="1"/>
        <v>0.37</v>
      </c>
      <c r="I19" s="16">
        <f t="shared" si="2"/>
        <v>1E-3</v>
      </c>
      <c r="J19" s="16">
        <f>ROUND(G19/945-1,2)</f>
        <v>0.42</v>
      </c>
    </row>
    <row r="20" spans="1:10" x14ac:dyDescent="0.25">
      <c r="A20" s="1" t="s">
        <v>16</v>
      </c>
      <c r="B20" s="1" t="s">
        <v>28</v>
      </c>
      <c r="C20" s="11"/>
      <c r="D20" s="11"/>
      <c r="E20" s="11">
        <v>1470</v>
      </c>
      <c r="F20" s="11"/>
      <c r="G20" s="11">
        <f t="shared" si="0"/>
        <v>1470</v>
      </c>
      <c r="H20" s="17">
        <f t="shared" si="1"/>
        <v>0.41</v>
      </c>
      <c r="I20" s="16">
        <f t="shared" si="2"/>
        <v>1E-3</v>
      </c>
      <c r="J20" s="16">
        <f>ROUND(G20/934-1,2)</f>
        <v>0.56999999999999995</v>
      </c>
    </row>
    <row r="21" spans="1:10" x14ac:dyDescent="0.25">
      <c r="A21" s="1" t="s">
        <v>16</v>
      </c>
      <c r="B21" s="1" t="s">
        <v>29</v>
      </c>
      <c r="C21" s="11"/>
      <c r="D21" s="11"/>
      <c r="E21" s="11">
        <v>132</v>
      </c>
      <c r="F21" s="11"/>
      <c r="G21" s="11">
        <f t="shared" si="0"/>
        <v>132</v>
      </c>
      <c r="H21" s="17">
        <f t="shared" si="1"/>
        <v>0.04</v>
      </c>
      <c r="I21" s="16">
        <f t="shared" si="2"/>
        <v>0</v>
      </c>
      <c r="J21" s="16">
        <f>ROUND(G21/336-1,2)</f>
        <v>-0.61</v>
      </c>
    </row>
    <row r="22" spans="1:10" x14ac:dyDescent="0.25">
      <c r="A22" s="1" t="s">
        <v>16</v>
      </c>
      <c r="B22" s="1" t="s">
        <v>30</v>
      </c>
      <c r="C22" s="11"/>
      <c r="D22" s="11"/>
      <c r="E22" s="11">
        <v>5700</v>
      </c>
      <c r="F22" s="11"/>
      <c r="G22" s="11">
        <f t="shared" si="0"/>
        <v>5700</v>
      </c>
      <c r="H22" s="17">
        <f t="shared" si="1"/>
        <v>1.58</v>
      </c>
      <c r="I22" s="16">
        <f t="shared" si="2"/>
        <v>4.0000000000000001E-3</v>
      </c>
      <c r="J22" s="16">
        <f>ROUND(G22/7700-1,2)</f>
        <v>-0.26</v>
      </c>
    </row>
    <row r="23" spans="1:10" x14ac:dyDescent="0.25">
      <c r="A23" s="1" t="s">
        <v>16</v>
      </c>
      <c r="B23" s="1" t="s">
        <v>31</v>
      </c>
      <c r="C23" s="11"/>
      <c r="D23" s="11"/>
      <c r="E23" s="11">
        <v>1240</v>
      </c>
      <c r="F23" s="11"/>
      <c r="G23" s="11">
        <f t="shared" si="0"/>
        <v>1240</v>
      </c>
      <c r="H23" s="17">
        <f t="shared" si="1"/>
        <v>0.34</v>
      </c>
      <c r="I23" s="16">
        <f t="shared" si="2"/>
        <v>1E-3</v>
      </c>
      <c r="J23" s="16">
        <f>ROUND(G23/1430-1,2)</f>
        <v>-0.13</v>
      </c>
    </row>
    <row r="24" spans="1:10" x14ac:dyDescent="0.25">
      <c r="A24" s="1" t="s">
        <v>16</v>
      </c>
      <c r="B24" s="1" t="s">
        <v>32</v>
      </c>
      <c r="C24" s="11"/>
      <c r="D24" s="11"/>
      <c r="E24" s="11">
        <v>670</v>
      </c>
      <c r="F24" s="11"/>
      <c r="G24" s="11">
        <f t="shared" si="0"/>
        <v>670</v>
      </c>
      <c r="H24" s="17">
        <f t="shared" si="1"/>
        <v>0.19</v>
      </c>
      <c r="I24" s="16">
        <f t="shared" si="2"/>
        <v>1E-3</v>
      </c>
      <c r="J24" s="16">
        <f>ROUND(G24/850-1,2)</f>
        <v>-0.21</v>
      </c>
    </row>
    <row r="25" spans="1:10" x14ac:dyDescent="0.25">
      <c r="A25" s="1" t="s">
        <v>16</v>
      </c>
      <c r="B25" s="1" t="s">
        <v>33</v>
      </c>
      <c r="C25" s="11"/>
      <c r="D25" s="11"/>
      <c r="E25" s="11">
        <v>2975</v>
      </c>
      <c r="F25" s="11"/>
      <c r="G25" s="11">
        <f t="shared" si="0"/>
        <v>2975</v>
      </c>
      <c r="H25" s="17">
        <f t="shared" si="1"/>
        <v>0.82</v>
      </c>
      <c r="I25" s="16">
        <f t="shared" si="2"/>
        <v>2E-3</v>
      </c>
      <c r="J25" s="16">
        <f>ROUND(G25/2155-1,2)</f>
        <v>0.38</v>
      </c>
    </row>
    <row r="26" spans="1:10" x14ac:dyDescent="0.25">
      <c r="A26" s="1" t="s">
        <v>16</v>
      </c>
      <c r="B26" s="1" t="s">
        <v>34</v>
      </c>
      <c r="C26" s="11"/>
      <c r="D26" s="11">
        <v>134</v>
      </c>
      <c r="E26" s="11">
        <v>219</v>
      </c>
      <c r="F26" s="11"/>
      <c r="G26" s="11">
        <f t="shared" si="0"/>
        <v>353</v>
      </c>
      <c r="H26" s="17">
        <f t="shared" si="1"/>
        <v>0.1</v>
      </c>
      <c r="I26" s="16">
        <f t="shared" si="2"/>
        <v>0</v>
      </c>
      <c r="J26" s="16">
        <f>ROUND(G26/317-1,2)</f>
        <v>0.11</v>
      </c>
    </row>
    <row r="27" spans="1:10" x14ac:dyDescent="0.25">
      <c r="A27" s="1" t="s">
        <v>16</v>
      </c>
      <c r="B27" s="1" t="s">
        <v>35</v>
      </c>
      <c r="C27" s="11"/>
      <c r="D27" s="11"/>
      <c r="E27" s="11">
        <v>644</v>
      </c>
      <c r="F27" s="11"/>
      <c r="G27" s="11">
        <f t="shared" si="0"/>
        <v>644</v>
      </c>
      <c r="H27" s="17">
        <f t="shared" si="1"/>
        <v>0.18</v>
      </c>
      <c r="I27" s="16">
        <f t="shared" si="2"/>
        <v>1E-3</v>
      </c>
      <c r="J27" s="16">
        <f>ROUND(G27/600-1,2)</f>
        <v>7.0000000000000007E-2</v>
      </c>
    </row>
    <row r="28" spans="1:10" x14ac:dyDescent="0.25">
      <c r="A28" s="1" t="s">
        <v>16</v>
      </c>
      <c r="B28" s="1" t="s">
        <v>37</v>
      </c>
      <c r="C28" s="11"/>
      <c r="D28" s="11"/>
      <c r="E28" s="11">
        <v>1950</v>
      </c>
      <c r="F28" s="11"/>
      <c r="G28" s="11">
        <f t="shared" si="0"/>
        <v>1950</v>
      </c>
      <c r="H28" s="17">
        <f t="shared" si="1"/>
        <v>0.54</v>
      </c>
      <c r="I28" s="16">
        <f t="shared" si="2"/>
        <v>2E-3</v>
      </c>
      <c r="J28" s="16">
        <f>ROUND(G28/2360-1,2)</f>
        <v>-0.17</v>
      </c>
    </row>
    <row r="29" spans="1:10" x14ac:dyDescent="0.25">
      <c r="A29" s="1" t="s">
        <v>16</v>
      </c>
      <c r="B29" s="1" t="s">
        <v>39</v>
      </c>
      <c r="C29" s="11"/>
      <c r="D29" s="11"/>
      <c r="E29" s="11">
        <v>10150</v>
      </c>
      <c r="F29" s="11"/>
      <c r="G29" s="11">
        <f t="shared" si="0"/>
        <v>10150</v>
      </c>
      <c r="H29" s="17">
        <f t="shared" si="1"/>
        <v>2.81</v>
      </c>
      <c r="I29" s="16">
        <f t="shared" si="2"/>
        <v>8.0000000000000002E-3</v>
      </c>
      <c r="J29" s="16">
        <f>ROUND(G29/16870-1,2)</f>
        <v>-0.4</v>
      </c>
    </row>
    <row r="30" spans="1:10" x14ac:dyDescent="0.25">
      <c r="A30" s="1" t="s">
        <v>16</v>
      </c>
      <c r="B30" s="1" t="s">
        <v>38</v>
      </c>
      <c r="C30" s="11"/>
      <c r="D30" s="11"/>
      <c r="E30" s="11">
        <v>4060</v>
      </c>
      <c r="F30" s="11"/>
      <c r="G30" s="11">
        <f t="shared" si="0"/>
        <v>4060</v>
      </c>
      <c r="H30" s="17">
        <f t="shared" si="1"/>
        <v>1.1200000000000001</v>
      </c>
      <c r="I30" s="16">
        <f t="shared" si="2"/>
        <v>3.0000000000000001E-3</v>
      </c>
      <c r="J30" s="16">
        <f>ROUND(G30/10350-1,2)</f>
        <v>-0.61</v>
      </c>
    </row>
    <row r="31" spans="1:10" x14ac:dyDescent="0.25">
      <c r="A31" s="1" t="s">
        <v>16</v>
      </c>
      <c r="B31" s="1" t="s">
        <v>40</v>
      </c>
      <c r="C31" s="11"/>
      <c r="D31" s="11"/>
      <c r="E31" s="11">
        <v>105790</v>
      </c>
      <c r="F31" s="11"/>
      <c r="G31" s="11">
        <f t="shared" si="0"/>
        <v>105790</v>
      </c>
      <c r="H31" s="17">
        <f t="shared" si="1"/>
        <v>29.3</v>
      </c>
      <c r="I31" s="16">
        <f t="shared" si="2"/>
        <v>8.3000000000000004E-2</v>
      </c>
      <c r="J31" s="16">
        <f>ROUND(G31/94800-1,2)</f>
        <v>0.12</v>
      </c>
    </row>
    <row r="32" spans="1:10" x14ac:dyDescent="0.25">
      <c r="A32" s="1" t="s">
        <v>16</v>
      </c>
      <c r="B32" s="1" t="s">
        <v>41</v>
      </c>
      <c r="C32" s="11"/>
      <c r="D32" s="11"/>
      <c r="E32" s="11">
        <v>5440</v>
      </c>
      <c r="F32" s="11"/>
      <c r="G32" s="11">
        <f t="shared" si="0"/>
        <v>5440</v>
      </c>
      <c r="H32" s="17">
        <f t="shared" si="1"/>
        <v>1.51</v>
      </c>
      <c r="I32" s="16">
        <f t="shared" si="2"/>
        <v>4.0000000000000001E-3</v>
      </c>
      <c r="J32" s="16">
        <f>ROUND(G32/6290-1,2)</f>
        <v>-0.14000000000000001</v>
      </c>
    </row>
    <row r="33" spans="1:10" x14ac:dyDescent="0.25">
      <c r="A33" s="1" t="s">
        <v>16</v>
      </c>
      <c r="B33" s="1" t="s">
        <v>42</v>
      </c>
      <c r="C33" s="11"/>
      <c r="D33" s="11"/>
      <c r="E33" s="11">
        <v>20330</v>
      </c>
      <c r="F33" s="11"/>
      <c r="G33" s="11">
        <f t="shared" si="0"/>
        <v>20330</v>
      </c>
      <c r="H33" s="17">
        <f t="shared" si="1"/>
        <v>5.63</v>
      </c>
      <c r="I33" s="16">
        <f t="shared" si="2"/>
        <v>1.6E-2</v>
      </c>
      <c r="J33" s="16">
        <f>ROUND(G33/23800-1,2)</f>
        <v>-0.15</v>
      </c>
    </row>
    <row r="34" spans="1:10" x14ac:dyDescent="0.25">
      <c r="A34" s="1" t="s">
        <v>16</v>
      </c>
      <c r="B34" s="1" t="s">
        <v>44</v>
      </c>
      <c r="C34" s="11"/>
      <c r="D34" s="11"/>
      <c r="E34" s="11">
        <v>128600</v>
      </c>
      <c r="F34" s="11"/>
      <c r="G34" s="11">
        <f t="shared" si="0"/>
        <v>128600</v>
      </c>
      <c r="H34" s="17">
        <f t="shared" si="1"/>
        <v>35.61</v>
      </c>
      <c r="I34" s="16">
        <f t="shared" si="2"/>
        <v>0.10100000000000001</v>
      </c>
      <c r="J34" s="16">
        <f>ROUND(G34/115660-1,2)</f>
        <v>0.11</v>
      </c>
    </row>
    <row r="35" spans="1:10" x14ac:dyDescent="0.25">
      <c r="A35" s="1" t="s">
        <v>16</v>
      </c>
      <c r="B35" s="1" t="s">
        <v>36</v>
      </c>
      <c r="C35" s="11"/>
      <c r="D35" s="11"/>
      <c r="E35" s="11"/>
      <c r="F35" s="11"/>
      <c r="G35" s="11">
        <f t="shared" si="0"/>
        <v>0</v>
      </c>
      <c r="H35" s="17">
        <f t="shared" si="1"/>
        <v>0</v>
      </c>
      <c r="I35" s="16">
        <f t="shared" si="2"/>
        <v>0</v>
      </c>
      <c r="J35" s="16">
        <f>ROUND(G35/190-1,2)</f>
        <v>-1</v>
      </c>
    </row>
    <row r="36" spans="1:10" x14ac:dyDescent="0.25">
      <c r="A36" s="1" t="s">
        <v>45</v>
      </c>
      <c r="B36" s="1" t="s">
        <v>46</v>
      </c>
      <c r="C36" s="11">
        <v>165600</v>
      </c>
      <c r="D36" s="11"/>
      <c r="E36" s="11"/>
      <c r="F36" s="11">
        <v>960</v>
      </c>
      <c r="G36" s="11">
        <f t="shared" si="0"/>
        <v>166560</v>
      </c>
      <c r="H36" s="17">
        <f t="shared" si="1"/>
        <v>46.13</v>
      </c>
      <c r="I36" s="16">
        <f t="shared" si="2"/>
        <v>0.13</v>
      </c>
      <c r="J36" s="16">
        <f>ROUND(G36/172020-1,2)</f>
        <v>-0.03</v>
      </c>
    </row>
    <row r="37" spans="1:10" x14ac:dyDescent="0.25">
      <c r="A37" s="1" t="s">
        <v>45</v>
      </c>
      <c r="B37" s="1" t="s">
        <v>48</v>
      </c>
      <c r="C37" s="11"/>
      <c r="D37" s="11"/>
      <c r="E37" s="11"/>
      <c r="F37" s="11">
        <v>35480</v>
      </c>
      <c r="G37" s="11">
        <f t="shared" si="0"/>
        <v>35480</v>
      </c>
      <c r="H37" s="17">
        <f t="shared" si="1"/>
        <v>9.83</v>
      </c>
      <c r="I37" s="16">
        <f t="shared" si="2"/>
        <v>2.8000000000000001E-2</v>
      </c>
      <c r="J37" s="16">
        <f>ROUND(G37/13690-1,2)</f>
        <v>1.59</v>
      </c>
    </row>
    <row r="38" spans="1:10" x14ac:dyDescent="0.25">
      <c r="A38" s="1" t="s">
        <v>45</v>
      </c>
      <c r="B38" s="1" t="s">
        <v>47</v>
      </c>
      <c r="C38" s="11"/>
      <c r="D38" s="11"/>
      <c r="E38" s="11">
        <v>79185</v>
      </c>
      <c r="F38" s="11"/>
      <c r="G38" s="11">
        <f t="shared" si="0"/>
        <v>79185</v>
      </c>
      <c r="H38" s="17">
        <f t="shared" si="1"/>
        <v>21.93</v>
      </c>
      <c r="I38" s="16">
        <f t="shared" si="2"/>
        <v>6.2E-2</v>
      </c>
      <c r="J38" s="16">
        <f>ROUND(G38/83560-1,2)</f>
        <v>-0.05</v>
      </c>
    </row>
    <row r="39" spans="1:10" x14ac:dyDescent="0.25">
      <c r="A39" s="1" t="s">
        <v>49</v>
      </c>
      <c r="B39" s="1" t="s">
        <v>52</v>
      </c>
      <c r="C39" s="11"/>
      <c r="D39" s="11"/>
      <c r="E39" s="11"/>
      <c r="F39" s="11"/>
      <c r="G39" s="11">
        <f t="shared" si="0"/>
        <v>0</v>
      </c>
      <c r="H39" s="17">
        <f t="shared" si="1"/>
        <v>0</v>
      </c>
      <c r="I39" s="16">
        <f t="shared" si="2"/>
        <v>0</v>
      </c>
      <c r="J39" s="16"/>
    </row>
    <row r="40" spans="1:10" x14ac:dyDescent="0.25">
      <c r="A40" s="1" t="s">
        <v>49</v>
      </c>
      <c r="B40" s="1" t="s">
        <v>50</v>
      </c>
      <c r="C40" s="11"/>
      <c r="D40" s="11"/>
      <c r="E40" s="11"/>
      <c r="F40" s="11"/>
      <c r="G40" s="11">
        <f t="shared" si="0"/>
        <v>0</v>
      </c>
      <c r="H40" s="17">
        <f t="shared" si="1"/>
        <v>0</v>
      </c>
      <c r="I40" s="16">
        <f t="shared" si="2"/>
        <v>0</v>
      </c>
      <c r="J40" s="16"/>
    </row>
    <row r="41" spans="1:10" x14ac:dyDescent="0.25">
      <c r="A41" s="1" t="s">
        <v>49</v>
      </c>
      <c r="B41" s="1" t="s">
        <v>51</v>
      </c>
      <c r="C41" s="11"/>
      <c r="D41" s="11"/>
      <c r="E41" s="11"/>
      <c r="F41" s="11"/>
      <c r="G41" s="11">
        <f t="shared" si="0"/>
        <v>0</v>
      </c>
      <c r="H41" s="17">
        <f t="shared" si="1"/>
        <v>0</v>
      </c>
      <c r="I41" s="16">
        <f t="shared" si="2"/>
        <v>0</v>
      </c>
      <c r="J41" s="16"/>
    </row>
    <row r="42" spans="1:10" x14ac:dyDescent="0.25">
      <c r="A42" s="1" t="s">
        <v>49</v>
      </c>
      <c r="B42" s="1" t="s">
        <v>88</v>
      </c>
      <c r="C42" s="11"/>
      <c r="D42" s="11"/>
      <c r="E42" s="11"/>
      <c r="F42" s="11"/>
      <c r="G42" s="11">
        <f t="shared" si="0"/>
        <v>0</v>
      </c>
      <c r="H42" s="17">
        <f t="shared" si="1"/>
        <v>0</v>
      </c>
      <c r="I42" s="16">
        <f t="shared" si="2"/>
        <v>0</v>
      </c>
      <c r="J42" s="16"/>
    </row>
    <row r="43" spans="1:10" x14ac:dyDescent="0.25">
      <c r="A43" s="26" t="s">
        <v>12</v>
      </c>
      <c r="B43" s="26"/>
      <c r="C43" s="12">
        <f t="shared" ref="C43:H43" si="3">SUM(C8:C42)</f>
        <v>758460</v>
      </c>
      <c r="D43" s="12">
        <f t="shared" si="3"/>
        <v>134</v>
      </c>
      <c r="E43" s="12">
        <f t="shared" si="3"/>
        <v>481131</v>
      </c>
      <c r="F43" s="12">
        <f t="shared" si="3"/>
        <v>39360</v>
      </c>
      <c r="G43" s="12">
        <f t="shared" si="3"/>
        <v>1279085</v>
      </c>
      <c r="H43" s="15">
        <f t="shared" si="3"/>
        <v>354.23</v>
      </c>
      <c r="I43" s="18"/>
      <c r="J43" s="18"/>
    </row>
    <row r="44" spans="1:10" x14ac:dyDescent="0.25">
      <c r="A44" s="26" t="s">
        <v>14</v>
      </c>
      <c r="B44" s="26"/>
      <c r="C44" s="13">
        <f>ROUND(C43/G43,2)</f>
        <v>0.59</v>
      </c>
      <c r="D44" s="13">
        <f>ROUND(D43/G43,2)</f>
        <v>0</v>
      </c>
      <c r="E44" s="13">
        <f>ROUND(E43/G43,2)</f>
        <v>0.38</v>
      </c>
      <c r="F44" s="13">
        <f>ROUND(F43/G43,2)</f>
        <v>0.03</v>
      </c>
      <c r="G44" s="14"/>
      <c r="H44" s="14"/>
      <c r="I44" s="18"/>
      <c r="J44" s="18"/>
    </row>
    <row r="45" spans="1:10" x14ac:dyDescent="0.25">
      <c r="A45" s="2" t="s">
        <v>53</v>
      </c>
      <c r="B45" s="2"/>
      <c r="C45" s="14"/>
      <c r="D45" s="14"/>
      <c r="E45" s="14"/>
      <c r="F45" s="14"/>
      <c r="G45" s="14"/>
      <c r="H45" s="14"/>
      <c r="I45" s="18"/>
      <c r="J45" s="18"/>
    </row>
    <row r="46" spans="1:10" x14ac:dyDescent="0.25">
      <c r="C46" s="9"/>
      <c r="D46" s="9"/>
      <c r="E46" s="9"/>
      <c r="F46" s="9"/>
      <c r="G46" s="9"/>
      <c r="H46" s="9"/>
      <c r="I46" s="10"/>
      <c r="J46" s="10"/>
    </row>
    <row r="47" spans="1:10" x14ac:dyDescent="0.25">
      <c r="C47" s="9"/>
      <c r="D47" s="9"/>
      <c r="E47" s="9"/>
      <c r="F47" s="9"/>
      <c r="G47" s="9"/>
      <c r="H47" s="9"/>
      <c r="I47" s="10"/>
      <c r="J47" s="10"/>
    </row>
    <row r="48" spans="1:10" x14ac:dyDescent="0.25">
      <c r="C48" s="9"/>
      <c r="D48" s="9"/>
      <c r="E48" s="9"/>
      <c r="F48" s="9"/>
      <c r="G48" s="9"/>
      <c r="H48" s="9"/>
      <c r="I48" s="10"/>
      <c r="J48" s="10"/>
    </row>
    <row r="49" spans="1:10" x14ac:dyDescent="0.25">
      <c r="A49" s="26" t="s">
        <v>54</v>
      </c>
      <c r="B49" s="26"/>
      <c r="C49" s="12" t="s">
        <v>8</v>
      </c>
      <c r="D49" s="12" t="s">
        <v>9</v>
      </c>
      <c r="E49" s="12" t="s">
        <v>10</v>
      </c>
      <c r="F49" s="12" t="s">
        <v>11</v>
      </c>
      <c r="G49" s="12" t="s">
        <v>12</v>
      </c>
      <c r="H49" s="15" t="s">
        <v>13</v>
      </c>
      <c r="I49" s="18"/>
      <c r="J49" s="18"/>
    </row>
    <row r="50" spans="1:10" x14ac:dyDescent="0.25">
      <c r="A50" s="21" t="s">
        <v>55</v>
      </c>
      <c r="B50" s="21"/>
      <c r="C50" s="11">
        <v>592860</v>
      </c>
      <c r="D50" s="11">
        <v>134</v>
      </c>
      <c r="E50" s="11">
        <v>401946</v>
      </c>
      <c r="F50" s="11">
        <v>2920</v>
      </c>
      <c r="G50" s="11">
        <f>SUM(C50:F50)</f>
        <v>997860</v>
      </c>
      <c r="H50" s="17">
        <f>ROUND(G50/3611,2)</f>
        <v>276.33999999999997</v>
      </c>
      <c r="I50" s="10"/>
      <c r="J50" s="10"/>
    </row>
    <row r="51" spans="1:10" x14ac:dyDescent="0.25">
      <c r="A51" s="21" t="s">
        <v>56</v>
      </c>
      <c r="B51" s="21"/>
      <c r="C51" s="11">
        <v>165600</v>
      </c>
      <c r="D51" s="11">
        <v>0</v>
      </c>
      <c r="E51" s="11">
        <v>79185</v>
      </c>
      <c r="F51" s="11">
        <v>36440</v>
      </c>
      <c r="G51" s="11">
        <f>SUM(C51:F51)</f>
        <v>281225</v>
      </c>
      <c r="H51" s="17">
        <f>ROUND(G51/3611,2)</f>
        <v>77.88</v>
      </c>
      <c r="I51" s="10"/>
      <c r="J51" s="10"/>
    </row>
    <row r="52" spans="1:10" x14ac:dyDescent="0.25">
      <c r="A52" s="21" t="s">
        <v>57</v>
      </c>
      <c r="B52" s="21"/>
      <c r="C52" s="11">
        <v>0</v>
      </c>
      <c r="D52" s="11">
        <v>0</v>
      </c>
      <c r="E52" s="11">
        <v>0</v>
      </c>
      <c r="F52" s="11">
        <v>0</v>
      </c>
      <c r="G52" s="11">
        <f>SUM(C52:F52)</f>
        <v>0</v>
      </c>
      <c r="H52" s="17">
        <f>ROUND(G52/3611,2)</f>
        <v>0</v>
      </c>
      <c r="I52" s="10"/>
      <c r="J52" s="10"/>
    </row>
    <row r="53" spans="1:10" x14ac:dyDescent="0.25">
      <c r="C53" s="9"/>
      <c r="D53" s="9"/>
      <c r="E53" s="9"/>
      <c r="F53" s="9"/>
      <c r="G53" s="9"/>
      <c r="H53" s="9"/>
      <c r="I53" s="10"/>
      <c r="J53" s="10"/>
    </row>
    <row r="54" spans="1:10" x14ac:dyDescent="0.25">
      <c r="C54" s="9"/>
      <c r="D54" s="9"/>
      <c r="E54" s="9"/>
      <c r="F54" s="9"/>
      <c r="G54" s="9"/>
      <c r="H54" s="9"/>
      <c r="I54" s="10"/>
      <c r="J54" s="10"/>
    </row>
    <row r="55" spans="1:10" x14ac:dyDescent="0.25">
      <c r="C55" s="9"/>
      <c r="D55" s="9"/>
      <c r="E55" s="9"/>
      <c r="F55" s="9"/>
      <c r="G55" s="9"/>
      <c r="H55" s="9"/>
      <c r="I55" s="10"/>
      <c r="J55" s="10"/>
    </row>
    <row r="56" spans="1:10" x14ac:dyDescent="0.25">
      <c r="C56" s="9"/>
      <c r="D56" s="9"/>
      <c r="E56" s="9"/>
      <c r="F56" s="9"/>
      <c r="G56" s="9"/>
      <c r="H56" s="9"/>
      <c r="I56" s="10"/>
      <c r="J56" s="10"/>
    </row>
    <row r="57" spans="1:10" x14ac:dyDescent="0.25">
      <c r="A57" s="26" t="s">
        <v>58</v>
      </c>
      <c r="B57" s="26"/>
      <c r="C57" s="15" t="s">
        <v>2</v>
      </c>
      <c r="D57" s="15">
        <v>2024</v>
      </c>
      <c r="E57" s="15" t="s">
        <v>60</v>
      </c>
      <c r="F57" s="14"/>
      <c r="G57" s="15" t="s">
        <v>61</v>
      </c>
      <c r="H57" s="15" t="s">
        <v>2</v>
      </c>
      <c r="I57" s="13" t="s">
        <v>62</v>
      </c>
      <c r="J57" s="13" t="s">
        <v>60</v>
      </c>
    </row>
    <row r="58" spans="1:10" x14ac:dyDescent="0.25">
      <c r="A58" s="21" t="s">
        <v>59</v>
      </c>
      <c r="B58" s="21"/>
      <c r="C58" s="16">
        <f>ROUND(0.8606, 4)</f>
        <v>0.86060000000000003</v>
      </c>
      <c r="D58" s="16">
        <f>ROUND(0.8539, 4)</f>
        <v>0.85389999999999999</v>
      </c>
      <c r="E58" s="16">
        <f>ROUND(0.7856, 4)</f>
        <v>0.78559999999999997</v>
      </c>
      <c r="F58" s="9"/>
      <c r="G58" s="15" t="s">
        <v>63</v>
      </c>
      <c r="H58" s="27" t="s">
        <v>64</v>
      </c>
      <c r="I58" s="24" t="s">
        <v>65</v>
      </c>
      <c r="J58" s="24" t="s">
        <v>66</v>
      </c>
    </row>
    <row r="59" spans="1:10" x14ac:dyDescent="0.25">
      <c r="A59" s="21" t="s">
        <v>67</v>
      </c>
      <c r="B59" s="21"/>
      <c r="C59" s="16">
        <f>ROUND(0.8606, 4)</f>
        <v>0.86060000000000003</v>
      </c>
      <c r="D59" s="16">
        <f>ROUND(0.8406, 4)</f>
        <v>0.84060000000000001</v>
      </c>
      <c r="E59" s="16">
        <f>ROUND(0.7702, 4)</f>
        <v>0.7702</v>
      </c>
      <c r="F59" s="9"/>
      <c r="G59" s="15" t="s">
        <v>68</v>
      </c>
      <c r="H59" s="28"/>
      <c r="I59" s="25"/>
      <c r="J59" s="25"/>
    </row>
    <row r="60" spans="1:10" x14ac:dyDescent="0.25">
      <c r="C60" s="9"/>
      <c r="D60" s="9"/>
      <c r="E60" s="9"/>
      <c r="F60" s="9"/>
      <c r="G60" s="9"/>
      <c r="H60" s="9"/>
      <c r="I60" s="10"/>
      <c r="J60" s="10"/>
    </row>
    <row r="61" spans="1:10" x14ac:dyDescent="0.25">
      <c r="C61" s="9"/>
      <c r="D61" s="9"/>
      <c r="E61" s="9"/>
      <c r="F61" s="9"/>
      <c r="G61" s="9"/>
      <c r="H61" s="9"/>
      <c r="I61" s="10"/>
      <c r="J61" s="10"/>
    </row>
    <row r="62" spans="1:10" x14ac:dyDescent="0.25">
      <c r="C62" s="9"/>
      <c r="D62" s="9"/>
      <c r="E62" s="9"/>
      <c r="F62" s="9"/>
      <c r="G62" s="9"/>
      <c r="H62" s="9"/>
      <c r="I62" s="10"/>
      <c r="J62" s="10"/>
    </row>
    <row r="63" spans="1:10" x14ac:dyDescent="0.25">
      <c r="A63" s="26" t="s">
        <v>69</v>
      </c>
      <c r="B63" s="26"/>
      <c r="C63" s="15" t="s">
        <v>2</v>
      </c>
      <c r="D63" s="15" t="s">
        <v>192</v>
      </c>
      <c r="E63" s="15" t="s">
        <v>71</v>
      </c>
      <c r="F63" s="15" t="s">
        <v>72</v>
      </c>
      <c r="G63" s="15" t="s">
        <v>73</v>
      </c>
      <c r="H63" s="14"/>
      <c r="I63" s="18"/>
      <c r="J63" s="18"/>
    </row>
    <row r="64" spans="1:10" x14ac:dyDescent="0.25">
      <c r="A64" s="21" t="s">
        <v>74</v>
      </c>
      <c r="B64" s="21"/>
      <c r="C64" s="17">
        <v>46.13</v>
      </c>
      <c r="D64" s="17">
        <v>45.25</v>
      </c>
      <c r="E64" s="17">
        <v>96.15</v>
      </c>
      <c r="F64" s="17">
        <v>57.94</v>
      </c>
      <c r="G64" s="17">
        <f>12/12*C64</f>
        <v>46.13</v>
      </c>
      <c r="H64" s="9"/>
      <c r="I64" s="10"/>
      <c r="J64" s="10"/>
    </row>
    <row r="65" spans="1:10" x14ac:dyDescent="0.25">
      <c r="A65" s="21" t="s">
        <v>75</v>
      </c>
      <c r="B65" s="21"/>
      <c r="C65" s="17">
        <v>56.27</v>
      </c>
      <c r="D65" s="17">
        <v>55.39</v>
      </c>
      <c r="E65" s="17">
        <v>62.28</v>
      </c>
      <c r="F65" s="17">
        <v>66.599999999999994</v>
      </c>
      <c r="G65" s="17">
        <f>12/12*C65</f>
        <v>56.27</v>
      </c>
      <c r="H65" s="9"/>
      <c r="I65" s="10"/>
      <c r="J65" s="10"/>
    </row>
    <row r="66" spans="1:10" x14ac:dyDescent="0.25">
      <c r="A66" s="21" t="s">
        <v>76</v>
      </c>
      <c r="B66" s="21"/>
      <c r="C66" s="17">
        <v>276.33999999999997</v>
      </c>
      <c r="D66" s="17">
        <v>287.17</v>
      </c>
      <c r="E66" s="17">
        <v>300.02</v>
      </c>
      <c r="F66" s="17">
        <v>295.08</v>
      </c>
      <c r="G66" s="17">
        <f>12/12*C66</f>
        <v>276.33999999999997</v>
      </c>
      <c r="H66" s="9"/>
      <c r="I66" s="10"/>
      <c r="J66" s="10"/>
    </row>
    <row r="67" spans="1:10" x14ac:dyDescent="0.25">
      <c r="A67" s="21" t="s">
        <v>77</v>
      </c>
      <c r="B67" s="21"/>
      <c r="C67" s="17">
        <v>77.88</v>
      </c>
      <c r="D67" s="17">
        <v>73.27</v>
      </c>
      <c r="E67" s="17">
        <v>120.96</v>
      </c>
      <c r="F67" s="17">
        <v>83.12</v>
      </c>
      <c r="G67" s="17">
        <f>12/12*C67</f>
        <v>77.88</v>
      </c>
      <c r="H67" s="9"/>
      <c r="I67" s="10"/>
      <c r="J67" s="10"/>
    </row>
    <row r="68" spans="1:10" x14ac:dyDescent="0.25">
      <c r="C68" s="9"/>
      <c r="D68" s="9"/>
      <c r="E68" s="9"/>
      <c r="F68" s="9"/>
      <c r="G68" s="9"/>
      <c r="H68" s="9"/>
      <c r="I68" s="10"/>
      <c r="J68" s="10"/>
    </row>
    <row r="69" spans="1:10" x14ac:dyDescent="0.25">
      <c r="C69" s="9"/>
      <c r="D69" s="9"/>
      <c r="E69" s="9"/>
      <c r="F69" s="9"/>
      <c r="G69" s="9"/>
      <c r="H69" s="9"/>
      <c r="I69" s="10"/>
      <c r="J69" s="10"/>
    </row>
    <row r="70" spans="1:10" x14ac:dyDescent="0.25">
      <c r="A70" s="22" t="s">
        <v>61</v>
      </c>
      <c r="B70" s="23"/>
    </row>
    <row r="71" spans="1:10" x14ac:dyDescent="0.25">
      <c r="A71" s="3" t="s">
        <v>78</v>
      </c>
      <c r="B71" s="1" t="s">
        <v>193</v>
      </c>
    </row>
    <row r="72" spans="1:10" x14ac:dyDescent="0.25">
      <c r="A72" s="3" t="s">
        <v>71</v>
      </c>
      <c r="B72" s="1" t="s">
        <v>80</v>
      </c>
    </row>
    <row r="73" spans="1:10" x14ac:dyDescent="0.25">
      <c r="A73" s="3" t="s">
        <v>72</v>
      </c>
      <c r="B73" s="1" t="s">
        <v>81</v>
      </c>
    </row>
    <row r="74" spans="1:10" x14ac:dyDescent="0.25">
      <c r="A74" s="3" t="s">
        <v>73</v>
      </c>
      <c r="B74" s="1" t="s">
        <v>82</v>
      </c>
    </row>
  </sheetData>
  <mergeCells count="19">
    <mergeCell ref="C7:G7"/>
    <mergeCell ref="A43:B43"/>
    <mergeCell ref="A44:B44"/>
    <mergeCell ref="A49:B49"/>
    <mergeCell ref="A50:B50"/>
    <mergeCell ref="J58:J59"/>
    <mergeCell ref="A59:B59"/>
    <mergeCell ref="A63:B63"/>
    <mergeCell ref="A64:B64"/>
    <mergeCell ref="A51:B51"/>
    <mergeCell ref="A52:B52"/>
    <mergeCell ref="A57:B57"/>
    <mergeCell ref="A58:B58"/>
    <mergeCell ref="H58:H59"/>
    <mergeCell ref="A65:B65"/>
    <mergeCell ref="A66:B66"/>
    <mergeCell ref="A67:B67"/>
    <mergeCell ref="A70:B70"/>
    <mergeCell ref="I58:I5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J75"/>
  <sheetViews>
    <sheetView workbookViewId="0">
      <selection activeCell="H5" sqref="H5"/>
    </sheetView>
  </sheetViews>
  <sheetFormatPr defaultRowHeight="15" x14ac:dyDescent="0.25"/>
  <cols>
    <col min="1" max="1" width="28.42578125" bestFit="1" customWidth="1"/>
    <col min="2" max="2" width="59.5703125" bestFit="1" customWidth="1"/>
    <col min="3" max="3" width="12.7109375" bestFit="1" customWidth="1"/>
    <col min="4" max="4" width="25.7109375" bestFit="1" customWidth="1"/>
    <col min="5" max="5" width="13.85546875" bestFit="1" customWidth="1"/>
    <col min="6" max="6" width="8.5703125" bestFit="1" customWidth="1"/>
    <col min="7" max="7" width="47.7109375" bestFit="1" customWidth="1"/>
    <col min="8" max="9" width="16.7109375" bestFit="1" customWidth="1"/>
    <col min="10" max="10" width="24.42578125" bestFit="1" customWidth="1"/>
  </cols>
  <sheetData>
    <row r="2" spans="1:10" ht="18.75" x14ac:dyDescent="0.3">
      <c r="A2" s="3" t="s">
        <v>0</v>
      </c>
      <c r="B2" s="4" t="s">
        <v>86</v>
      </c>
    </row>
    <row r="3" spans="1:10" x14ac:dyDescent="0.25">
      <c r="A3" s="3" t="s">
        <v>2</v>
      </c>
      <c r="B3" s="1" t="s">
        <v>3</v>
      </c>
    </row>
    <row r="4" spans="1:10" x14ac:dyDescent="0.25">
      <c r="A4" s="3" t="s">
        <v>4</v>
      </c>
      <c r="B4" s="20">
        <v>2036</v>
      </c>
    </row>
    <row r="7" spans="1:10" x14ac:dyDescent="0.25">
      <c r="C7" s="22" t="s">
        <v>5</v>
      </c>
      <c r="D7" s="21"/>
      <c r="E7" s="21"/>
      <c r="F7" s="21"/>
      <c r="G7" s="21"/>
    </row>
    <row r="8" spans="1:10" x14ac:dyDescent="0.25">
      <c r="A8" s="3" t="s">
        <v>6</v>
      </c>
      <c r="B8" s="3" t="s">
        <v>7</v>
      </c>
      <c r="C8" s="15" t="s">
        <v>8</v>
      </c>
      <c r="D8" s="15" t="s">
        <v>9</v>
      </c>
      <c r="E8" s="15" t="s">
        <v>10</v>
      </c>
      <c r="F8" s="15" t="s">
        <v>11</v>
      </c>
      <c r="G8" s="15" t="s">
        <v>12</v>
      </c>
      <c r="H8" s="15" t="s">
        <v>13</v>
      </c>
      <c r="I8" s="15" t="s">
        <v>14</v>
      </c>
      <c r="J8" s="15" t="s">
        <v>15</v>
      </c>
    </row>
    <row r="9" spans="1:10" x14ac:dyDescent="0.25">
      <c r="A9" s="1" t="s">
        <v>16</v>
      </c>
      <c r="B9" s="1" t="s">
        <v>17</v>
      </c>
      <c r="C9" s="11"/>
      <c r="D9" s="11"/>
      <c r="E9" s="11">
        <v>163</v>
      </c>
      <c r="F9" s="11"/>
      <c r="G9" s="11">
        <f t="shared" ref="G9:G43" si="0">SUM(C9:F9)</f>
        <v>163</v>
      </c>
      <c r="H9" s="17">
        <f t="shared" ref="H9:H43" si="1">ROUND(G9/2036,2)</f>
        <v>0.08</v>
      </c>
      <c r="I9" s="16">
        <f t="shared" ref="I9:I43" si="2">ROUND(G9/$G$44,3)</f>
        <v>0</v>
      </c>
      <c r="J9" s="16">
        <f>ROUND(G9/91-1,2)</f>
        <v>0.79</v>
      </c>
    </row>
    <row r="10" spans="1:10" x14ac:dyDescent="0.25">
      <c r="A10" s="1" t="s">
        <v>16</v>
      </c>
      <c r="B10" s="1" t="s">
        <v>19</v>
      </c>
      <c r="C10" s="11">
        <v>58160</v>
      </c>
      <c r="D10" s="11"/>
      <c r="E10" s="11">
        <v>12552</v>
      </c>
      <c r="F10" s="11"/>
      <c r="G10" s="11">
        <f t="shared" si="0"/>
        <v>70712</v>
      </c>
      <c r="H10" s="17">
        <f t="shared" si="1"/>
        <v>34.729999999999997</v>
      </c>
      <c r="I10" s="16">
        <f t="shared" si="2"/>
        <v>8.2000000000000003E-2</v>
      </c>
      <c r="J10" s="16">
        <f>ROUND(G10/70381-1,2)</f>
        <v>0</v>
      </c>
    </row>
    <row r="11" spans="1:10" x14ac:dyDescent="0.25">
      <c r="A11" s="1" t="s">
        <v>16</v>
      </c>
      <c r="B11" s="1" t="s">
        <v>20</v>
      </c>
      <c r="C11" s="11">
        <v>90860</v>
      </c>
      <c r="D11" s="11">
        <v>820</v>
      </c>
      <c r="E11" s="11"/>
      <c r="F11" s="11"/>
      <c r="G11" s="11">
        <f t="shared" si="0"/>
        <v>91680</v>
      </c>
      <c r="H11" s="17">
        <f t="shared" si="1"/>
        <v>45.03</v>
      </c>
      <c r="I11" s="16">
        <f t="shared" si="2"/>
        <v>0.107</v>
      </c>
      <c r="J11" s="16">
        <f>ROUND(G11/90012-1,2)</f>
        <v>0.02</v>
      </c>
    </row>
    <row r="12" spans="1:10" x14ac:dyDescent="0.25">
      <c r="A12" s="1" t="s">
        <v>16</v>
      </c>
      <c r="B12" s="1" t="s">
        <v>87</v>
      </c>
      <c r="C12" s="11"/>
      <c r="D12" s="11"/>
      <c r="E12" s="11">
        <v>37</v>
      </c>
      <c r="F12" s="11"/>
      <c r="G12" s="11">
        <f t="shared" si="0"/>
        <v>37</v>
      </c>
      <c r="H12" s="17">
        <f t="shared" si="1"/>
        <v>0.02</v>
      </c>
      <c r="I12" s="16">
        <f t="shared" si="2"/>
        <v>0</v>
      </c>
      <c r="J12" s="16"/>
    </row>
    <row r="13" spans="1:10" x14ac:dyDescent="0.25">
      <c r="A13" s="1" t="s">
        <v>16</v>
      </c>
      <c r="B13" s="1" t="s">
        <v>21</v>
      </c>
      <c r="C13" s="11"/>
      <c r="D13" s="11"/>
      <c r="E13" s="11">
        <v>250</v>
      </c>
      <c r="F13" s="11"/>
      <c r="G13" s="11">
        <f t="shared" si="0"/>
        <v>250</v>
      </c>
      <c r="H13" s="17">
        <f t="shared" si="1"/>
        <v>0.12</v>
      </c>
      <c r="I13" s="16">
        <f t="shared" si="2"/>
        <v>0</v>
      </c>
      <c r="J13" s="16">
        <f>ROUND(G13/197-1,2)</f>
        <v>0.27</v>
      </c>
    </row>
    <row r="14" spans="1:10" x14ac:dyDescent="0.25">
      <c r="A14" s="1" t="s">
        <v>16</v>
      </c>
      <c r="B14" s="1" t="s">
        <v>22</v>
      </c>
      <c r="C14" s="11"/>
      <c r="D14" s="11"/>
      <c r="E14" s="11">
        <v>2060</v>
      </c>
      <c r="F14" s="11"/>
      <c r="G14" s="11">
        <f t="shared" si="0"/>
        <v>2060</v>
      </c>
      <c r="H14" s="17">
        <f t="shared" si="1"/>
        <v>1.01</v>
      </c>
      <c r="I14" s="16">
        <f t="shared" si="2"/>
        <v>2E-3</v>
      </c>
      <c r="J14" s="16">
        <f>ROUND(G14/1901-1,2)</f>
        <v>0.08</v>
      </c>
    </row>
    <row r="15" spans="1:10" x14ac:dyDescent="0.25">
      <c r="A15" s="1" t="s">
        <v>16</v>
      </c>
      <c r="B15" s="1" t="s">
        <v>23</v>
      </c>
      <c r="C15" s="11"/>
      <c r="D15" s="11"/>
      <c r="E15" s="11">
        <v>87530</v>
      </c>
      <c r="F15" s="11"/>
      <c r="G15" s="11">
        <f t="shared" si="0"/>
        <v>87530</v>
      </c>
      <c r="H15" s="17">
        <f t="shared" si="1"/>
        <v>42.99</v>
      </c>
      <c r="I15" s="16">
        <f t="shared" si="2"/>
        <v>0.10199999999999999</v>
      </c>
      <c r="J15" s="16">
        <f>ROUND(G15/81898-1,2)</f>
        <v>7.0000000000000007E-2</v>
      </c>
    </row>
    <row r="16" spans="1:10" x14ac:dyDescent="0.25">
      <c r="A16" s="1" t="s">
        <v>16</v>
      </c>
      <c r="B16" s="1" t="s">
        <v>24</v>
      </c>
      <c r="C16" s="11">
        <v>60140</v>
      </c>
      <c r="D16" s="11"/>
      <c r="E16" s="11">
        <v>21706</v>
      </c>
      <c r="F16" s="11"/>
      <c r="G16" s="11">
        <f t="shared" si="0"/>
        <v>81846</v>
      </c>
      <c r="H16" s="17">
        <f t="shared" si="1"/>
        <v>40.200000000000003</v>
      </c>
      <c r="I16" s="16">
        <f t="shared" si="2"/>
        <v>9.5000000000000001E-2</v>
      </c>
      <c r="J16" s="16">
        <f>ROUND(G16/81270-1,2)</f>
        <v>0.01</v>
      </c>
    </row>
    <row r="17" spans="1:10" x14ac:dyDescent="0.25">
      <c r="A17" s="1" t="s">
        <v>16</v>
      </c>
      <c r="B17" s="1" t="s">
        <v>25</v>
      </c>
      <c r="C17" s="11"/>
      <c r="D17" s="11"/>
      <c r="E17" s="11">
        <v>5139</v>
      </c>
      <c r="F17" s="11"/>
      <c r="G17" s="11">
        <f t="shared" si="0"/>
        <v>5139</v>
      </c>
      <c r="H17" s="17">
        <f t="shared" si="1"/>
        <v>2.52</v>
      </c>
      <c r="I17" s="16">
        <f t="shared" si="2"/>
        <v>6.0000000000000001E-3</v>
      </c>
      <c r="J17" s="16">
        <f>ROUND(G17/4950-1,2)</f>
        <v>0.04</v>
      </c>
    </row>
    <row r="18" spans="1:10" x14ac:dyDescent="0.25">
      <c r="A18" s="1" t="s">
        <v>16</v>
      </c>
      <c r="B18" s="1" t="s">
        <v>26</v>
      </c>
      <c r="C18" s="11">
        <v>99170</v>
      </c>
      <c r="D18" s="11"/>
      <c r="E18" s="11"/>
      <c r="F18" s="11"/>
      <c r="G18" s="11">
        <f t="shared" si="0"/>
        <v>99170</v>
      </c>
      <c r="H18" s="17">
        <f t="shared" si="1"/>
        <v>48.71</v>
      </c>
      <c r="I18" s="16">
        <f t="shared" si="2"/>
        <v>0.115</v>
      </c>
      <c r="J18" s="16">
        <f>ROUND(G18/84910-1,2)</f>
        <v>0.17</v>
      </c>
    </row>
    <row r="19" spans="1:10" x14ac:dyDescent="0.25">
      <c r="A19" s="1" t="s">
        <v>16</v>
      </c>
      <c r="B19" s="1" t="s">
        <v>27</v>
      </c>
      <c r="C19" s="11"/>
      <c r="D19" s="11"/>
      <c r="E19" s="11">
        <v>1119</v>
      </c>
      <c r="F19" s="11"/>
      <c r="G19" s="11">
        <f t="shared" si="0"/>
        <v>1119</v>
      </c>
      <c r="H19" s="17">
        <f t="shared" si="1"/>
        <v>0.55000000000000004</v>
      </c>
      <c r="I19" s="16">
        <f t="shared" si="2"/>
        <v>1E-3</v>
      </c>
      <c r="J19" s="16">
        <f>ROUND(G19/727-1,2)</f>
        <v>0.54</v>
      </c>
    </row>
    <row r="20" spans="1:10" x14ac:dyDescent="0.25">
      <c r="A20" s="1" t="s">
        <v>16</v>
      </c>
      <c r="B20" s="1" t="s">
        <v>28</v>
      </c>
      <c r="C20" s="11"/>
      <c r="D20" s="11"/>
      <c r="E20" s="11">
        <v>781</v>
      </c>
      <c r="F20" s="11"/>
      <c r="G20" s="11">
        <f t="shared" si="0"/>
        <v>781</v>
      </c>
      <c r="H20" s="17">
        <f t="shared" si="1"/>
        <v>0.38</v>
      </c>
      <c r="I20" s="16">
        <f t="shared" si="2"/>
        <v>1E-3</v>
      </c>
      <c r="J20" s="16">
        <f>ROUND(G20/443-1,2)</f>
        <v>0.76</v>
      </c>
    </row>
    <row r="21" spans="1:10" x14ac:dyDescent="0.25">
      <c r="A21" s="1" t="s">
        <v>16</v>
      </c>
      <c r="B21" s="1" t="s">
        <v>29</v>
      </c>
      <c r="C21" s="11"/>
      <c r="D21" s="11"/>
      <c r="E21" s="11">
        <v>212</v>
      </c>
      <c r="F21" s="11"/>
      <c r="G21" s="11">
        <f t="shared" si="0"/>
        <v>212</v>
      </c>
      <c r="H21" s="17">
        <f t="shared" si="1"/>
        <v>0.1</v>
      </c>
      <c r="I21" s="16">
        <f t="shared" si="2"/>
        <v>0</v>
      </c>
      <c r="J21" s="16"/>
    </row>
    <row r="22" spans="1:10" x14ac:dyDescent="0.25">
      <c r="A22" s="1" t="s">
        <v>16</v>
      </c>
      <c r="B22" s="1" t="s">
        <v>30</v>
      </c>
      <c r="C22" s="11"/>
      <c r="D22" s="11"/>
      <c r="E22" s="11">
        <v>2946</v>
      </c>
      <c r="F22" s="11"/>
      <c r="G22" s="11">
        <f t="shared" si="0"/>
        <v>2946</v>
      </c>
      <c r="H22" s="17">
        <f t="shared" si="1"/>
        <v>1.45</v>
      </c>
      <c r="I22" s="16">
        <f t="shared" si="2"/>
        <v>3.0000000000000001E-3</v>
      </c>
      <c r="J22" s="16">
        <f>ROUND(G22/3056-1,2)</f>
        <v>-0.04</v>
      </c>
    </row>
    <row r="23" spans="1:10" x14ac:dyDescent="0.25">
      <c r="A23" s="1" t="s">
        <v>16</v>
      </c>
      <c r="B23" s="1" t="s">
        <v>31</v>
      </c>
      <c r="C23" s="11"/>
      <c r="D23" s="11"/>
      <c r="E23" s="11">
        <v>989</v>
      </c>
      <c r="F23" s="11"/>
      <c r="G23" s="11">
        <f t="shared" si="0"/>
        <v>989</v>
      </c>
      <c r="H23" s="17">
        <f t="shared" si="1"/>
        <v>0.49</v>
      </c>
      <c r="I23" s="16">
        <f t="shared" si="2"/>
        <v>1E-3</v>
      </c>
      <c r="J23" s="16">
        <f>ROUND(G23/1037-1,2)</f>
        <v>-0.05</v>
      </c>
    </row>
    <row r="24" spans="1:10" x14ac:dyDescent="0.25">
      <c r="A24" s="1" t="s">
        <v>16</v>
      </c>
      <c r="B24" s="1" t="s">
        <v>33</v>
      </c>
      <c r="C24" s="11"/>
      <c r="D24" s="11"/>
      <c r="E24" s="11">
        <v>1749</v>
      </c>
      <c r="F24" s="11"/>
      <c r="G24" s="11">
        <f t="shared" si="0"/>
        <v>1749</v>
      </c>
      <c r="H24" s="17">
        <f t="shared" si="1"/>
        <v>0.86</v>
      </c>
      <c r="I24" s="16">
        <f t="shared" si="2"/>
        <v>2E-3</v>
      </c>
      <c r="J24" s="16">
        <f>ROUND(G24/1508-1,2)</f>
        <v>0.16</v>
      </c>
    </row>
    <row r="25" spans="1:10" x14ac:dyDescent="0.25">
      <c r="A25" s="1" t="s">
        <v>16</v>
      </c>
      <c r="B25" s="1" t="s">
        <v>34</v>
      </c>
      <c r="C25" s="11"/>
      <c r="D25" s="11">
        <v>74</v>
      </c>
      <c r="E25" s="11">
        <v>57</v>
      </c>
      <c r="F25" s="11"/>
      <c r="G25" s="11">
        <f t="shared" si="0"/>
        <v>131</v>
      </c>
      <c r="H25" s="17">
        <f t="shared" si="1"/>
        <v>0.06</v>
      </c>
      <c r="I25" s="16">
        <f t="shared" si="2"/>
        <v>0</v>
      </c>
      <c r="J25" s="16">
        <f>ROUND(G25/105-1,2)</f>
        <v>0.25</v>
      </c>
    </row>
    <row r="26" spans="1:10" x14ac:dyDescent="0.25">
      <c r="A26" s="1" t="s">
        <v>16</v>
      </c>
      <c r="B26" s="1" t="s">
        <v>35</v>
      </c>
      <c r="C26" s="11"/>
      <c r="D26" s="11"/>
      <c r="E26" s="11">
        <v>1561</v>
      </c>
      <c r="F26" s="11"/>
      <c r="G26" s="11">
        <f t="shared" si="0"/>
        <v>1561</v>
      </c>
      <c r="H26" s="17">
        <f t="shared" si="1"/>
        <v>0.77</v>
      </c>
      <c r="I26" s="16">
        <f t="shared" si="2"/>
        <v>2E-3</v>
      </c>
      <c r="J26" s="16">
        <f>ROUND(G26/420-1,2)</f>
        <v>2.72</v>
      </c>
    </row>
    <row r="27" spans="1:10" x14ac:dyDescent="0.25">
      <c r="A27" s="1" t="s">
        <v>16</v>
      </c>
      <c r="B27" s="1" t="s">
        <v>37</v>
      </c>
      <c r="C27" s="11"/>
      <c r="D27" s="11"/>
      <c r="E27" s="11">
        <v>1972</v>
      </c>
      <c r="F27" s="11"/>
      <c r="G27" s="11">
        <f t="shared" si="0"/>
        <v>1972</v>
      </c>
      <c r="H27" s="17">
        <f t="shared" si="1"/>
        <v>0.97</v>
      </c>
      <c r="I27" s="16">
        <f t="shared" si="2"/>
        <v>2E-3</v>
      </c>
      <c r="J27" s="16">
        <f>ROUND(G27/1821-1,2)</f>
        <v>0.08</v>
      </c>
    </row>
    <row r="28" spans="1:10" x14ac:dyDescent="0.25">
      <c r="A28" s="1" t="s">
        <v>16</v>
      </c>
      <c r="B28" s="1" t="s">
        <v>39</v>
      </c>
      <c r="C28" s="11"/>
      <c r="D28" s="11"/>
      <c r="E28" s="11">
        <v>8717</v>
      </c>
      <c r="F28" s="11"/>
      <c r="G28" s="11">
        <f t="shared" si="0"/>
        <v>8717</v>
      </c>
      <c r="H28" s="17">
        <f t="shared" si="1"/>
        <v>4.28</v>
      </c>
      <c r="I28" s="16">
        <f t="shared" si="2"/>
        <v>0.01</v>
      </c>
      <c r="J28" s="16">
        <f>ROUND(G28/4141-1,2)</f>
        <v>1.1100000000000001</v>
      </c>
    </row>
    <row r="29" spans="1:10" x14ac:dyDescent="0.25">
      <c r="A29" s="1" t="s">
        <v>16</v>
      </c>
      <c r="B29" s="1" t="s">
        <v>38</v>
      </c>
      <c r="C29" s="11"/>
      <c r="D29" s="11"/>
      <c r="E29" s="11">
        <v>6010</v>
      </c>
      <c r="F29" s="11"/>
      <c r="G29" s="11">
        <f t="shared" si="0"/>
        <v>6010</v>
      </c>
      <c r="H29" s="17">
        <f t="shared" si="1"/>
        <v>2.95</v>
      </c>
      <c r="I29" s="16">
        <f t="shared" si="2"/>
        <v>7.0000000000000001E-3</v>
      </c>
      <c r="J29" s="16">
        <f>ROUND(G29/6477-1,2)</f>
        <v>-7.0000000000000007E-2</v>
      </c>
    </row>
    <row r="30" spans="1:10" x14ac:dyDescent="0.25">
      <c r="A30" s="1" t="s">
        <v>16</v>
      </c>
      <c r="B30" s="1" t="s">
        <v>40</v>
      </c>
      <c r="C30" s="11"/>
      <c r="D30" s="11"/>
      <c r="E30" s="11">
        <v>73786</v>
      </c>
      <c r="F30" s="11"/>
      <c r="G30" s="11">
        <f t="shared" si="0"/>
        <v>73786</v>
      </c>
      <c r="H30" s="17">
        <f t="shared" si="1"/>
        <v>36.24</v>
      </c>
      <c r="I30" s="16">
        <f t="shared" si="2"/>
        <v>8.5999999999999993E-2</v>
      </c>
      <c r="J30" s="16">
        <f>ROUND(G30/62836-1,2)</f>
        <v>0.17</v>
      </c>
    </row>
    <row r="31" spans="1:10" x14ac:dyDescent="0.25">
      <c r="A31" s="1" t="s">
        <v>16</v>
      </c>
      <c r="B31" s="1" t="s">
        <v>42</v>
      </c>
      <c r="C31" s="11"/>
      <c r="D31" s="11"/>
      <c r="E31" s="11">
        <v>19243</v>
      </c>
      <c r="F31" s="11"/>
      <c r="G31" s="11">
        <f t="shared" si="0"/>
        <v>19243</v>
      </c>
      <c r="H31" s="17">
        <f t="shared" si="1"/>
        <v>9.4499999999999993</v>
      </c>
      <c r="I31" s="16">
        <f t="shared" si="2"/>
        <v>2.1999999999999999E-2</v>
      </c>
      <c r="J31" s="16">
        <f>ROUND(G31/21214-1,2)</f>
        <v>-0.09</v>
      </c>
    </row>
    <row r="32" spans="1:10" x14ac:dyDescent="0.25">
      <c r="A32" s="1" t="s">
        <v>16</v>
      </c>
      <c r="B32" s="1" t="s">
        <v>44</v>
      </c>
      <c r="C32" s="11"/>
      <c r="D32" s="11"/>
      <c r="E32" s="11">
        <v>30305</v>
      </c>
      <c r="F32" s="11"/>
      <c r="G32" s="11">
        <f t="shared" si="0"/>
        <v>30305</v>
      </c>
      <c r="H32" s="17">
        <f t="shared" si="1"/>
        <v>14.88</v>
      </c>
      <c r="I32" s="16">
        <f t="shared" si="2"/>
        <v>3.5000000000000003E-2</v>
      </c>
      <c r="J32" s="16">
        <f>ROUND(G32/21118-1,2)</f>
        <v>0.44</v>
      </c>
    </row>
    <row r="33" spans="1:10" x14ac:dyDescent="0.25">
      <c r="A33" s="1" t="s">
        <v>16</v>
      </c>
      <c r="B33" s="1" t="s">
        <v>36</v>
      </c>
      <c r="C33" s="11"/>
      <c r="D33" s="11"/>
      <c r="E33" s="11"/>
      <c r="F33" s="11"/>
      <c r="G33" s="11">
        <f t="shared" si="0"/>
        <v>0</v>
      </c>
      <c r="H33" s="17">
        <f t="shared" si="1"/>
        <v>0</v>
      </c>
      <c r="I33" s="16">
        <f t="shared" si="2"/>
        <v>0</v>
      </c>
      <c r="J33" s="16">
        <f>ROUND(G33/934-1,2)</f>
        <v>-1</v>
      </c>
    </row>
    <row r="34" spans="1:10" x14ac:dyDescent="0.25">
      <c r="A34" s="1" t="s">
        <v>16</v>
      </c>
      <c r="B34" s="1" t="s">
        <v>18</v>
      </c>
      <c r="C34" s="11"/>
      <c r="D34" s="11"/>
      <c r="E34" s="11"/>
      <c r="F34" s="11"/>
      <c r="G34" s="11">
        <f t="shared" si="0"/>
        <v>0</v>
      </c>
      <c r="H34" s="17">
        <f t="shared" si="1"/>
        <v>0</v>
      </c>
      <c r="I34" s="16">
        <f t="shared" si="2"/>
        <v>0</v>
      </c>
      <c r="J34" s="16"/>
    </row>
    <row r="35" spans="1:10" x14ac:dyDescent="0.25">
      <c r="A35" s="1" t="s">
        <v>16</v>
      </c>
      <c r="B35" s="1" t="s">
        <v>32</v>
      </c>
      <c r="C35" s="11"/>
      <c r="D35" s="11"/>
      <c r="E35" s="11"/>
      <c r="F35" s="11"/>
      <c r="G35" s="11">
        <f t="shared" si="0"/>
        <v>0</v>
      </c>
      <c r="H35" s="17">
        <f t="shared" si="1"/>
        <v>0</v>
      </c>
      <c r="I35" s="16">
        <f t="shared" si="2"/>
        <v>0</v>
      </c>
      <c r="J35" s="16">
        <f>ROUND(G35/450-1,2)</f>
        <v>-1</v>
      </c>
    </row>
    <row r="36" spans="1:10" x14ac:dyDescent="0.25">
      <c r="A36" s="1" t="s">
        <v>16</v>
      </c>
      <c r="B36" s="1" t="s">
        <v>41</v>
      </c>
      <c r="C36" s="11"/>
      <c r="D36" s="11"/>
      <c r="E36" s="11"/>
      <c r="F36" s="11"/>
      <c r="G36" s="11">
        <f t="shared" si="0"/>
        <v>0</v>
      </c>
      <c r="H36" s="17">
        <f t="shared" si="1"/>
        <v>0</v>
      </c>
      <c r="I36" s="16">
        <f t="shared" si="2"/>
        <v>0</v>
      </c>
      <c r="J36" s="16"/>
    </row>
    <row r="37" spans="1:10" x14ac:dyDescent="0.25">
      <c r="A37" s="1" t="s">
        <v>45</v>
      </c>
      <c r="B37" s="1" t="s">
        <v>46</v>
      </c>
      <c r="C37" s="11">
        <v>225570</v>
      </c>
      <c r="D37" s="11"/>
      <c r="E37" s="11"/>
      <c r="F37" s="11"/>
      <c r="G37" s="11">
        <f t="shared" si="0"/>
        <v>225570</v>
      </c>
      <c r="H37" s="17">
        <f t="shared" si="1"/>
        <v>110.79</v>
      </c>
      <c r="I37" s="16">
        <f t="shared" si="2"/>
        <v>0.26300000000000001</v>
      </c>
      <c r="J37" s="16">
        <f>ROUND(G37/239510-1,2)</f>
        <v>-0.06</v>
      </c>
    </row>
    <row r="38" spans="1:10" x14ac:dyDescent="0.25">
      <c r="A38" s="1" t="s">
        <v>45</v>
      </c>
      <c r="B38" s="1" t="s">
        <v>47</v>
      </c>
      <c r="C38" s="11"/>
      <c r="D38" s="11"/>
      <c r="E38" s="11">
        <v>45288</v>
      </c>
      <c r="F38" s="11"/>
      <c r="G38" s="11">
        <f t="shared" si="0"/>
        <v>45288</v>
      </c>
      <c r="H38" s="17">
        <f t="shared" si="1"/>
        <v>22.24</v>
      </c>
      <c r="I38" s="16">
        <f t="shared" si="2"/>
        <v>5.2999999999999999E-2</v>
      </c>
      <c r="J38" s="16">
        <f>ROUND(G38/44636-1,2)</f>
        <v>0.01</v>
      </c>
    </row>
    <row r="39" spans="1:10" x14ac:dyDescent="0.25">
      <c r="A39" s="1" t="s">
        <v>45</v>
      </c>
      <c r="B39" s="1" t="s">
        <v>48</v>
      </c>
      <c r="C39" s="11"/>
      <c r="D39" s="11"/>
      <c r="E39" s="11"/>
      <c r="F39" s="11"/>
      <c r="G39" s="11">
        <f t="shared" si="0"/>
        <v>0</v>
      </c>
      <c r="H39" s="17">
        <f t="shared" si="1"/>
        <v>0</v>
      </c>
      <c r="I39" s="16">
        <f t="shared" si="2"/>
        <v>0</v>
      </c>
      <c r="J39" s="16"/>
    </row>
    <row r="40" spans="1:10" x14ac:dyDescent="0.25">
      <c r="A40" s="1" t="s">
        <v>49</v>
      </c>
      <c r="B40" s="1" t="s">
        <v>50</v>
      </c>
      <c r="C40" s="11"/>
      <c r="D40" s="11"/>
      <c r="E40" s="11"/>
      <c r="F40" s="11"/>
      <c r="G40" s="11">
        <f t="shared" si="0"/>
        <v>0</v>
      </c>
      <c r="H40" s="17">
        <f t="shared" si="1"/>
        <v>0</v>
      </c>
      <c r="I40" s="16">
        <f t="shared" si="2"/>
        <v>0</v>
      </c>
      <c r="J40" s="16"/>
    </row>
    <row r="41" spans="1:10" x14ac:dyDescent="0.25">
      <c r="A41" s="1" t="s">
        <v>49</v>
      </c>
      <c r="B41" s="1" t="s">
        <v>88</v>
      </c>
      <c r="C41" s="11"/>
      <c r="D41" s="11"/>
      <c r="E41" s="11"/>
      <c r="F41" s="11"/>
      <c r="G41" s="11">
        <f t="shared" si="0"/>
        <v>0</v>
      </c>
      <c r="H41" s="17">
        <f t="shared" si="1"/>
        <v>0</v>
      </c>
      <c r="I41" s="16">
        <f t="shared" si="2"/>
        <v>0</v>
      </c>
      <c r="J41" s="16"/>
    </row>
    <row r="42" spans="1:10" x14ac:dyDescent="0.25">
      <c r="A42" s="1" t="s">
        <v>49</v>
      </c>
      <c r="B42" s="1" t="s">
        <v>51</v>
      </c>
      <c r="C42" s="11"/>
      <c r="D42" s="11"/>
      <c r="E42" s="11"/>
      <c r="F42" s="11"/>
      <c r="G42" s="11">
        <f t="shared" si="0"/>
        <v>0</v>
      </c>
      <c r="H42" s="17">
        <f t="shared" si="1"/>
        <v>0</v>
      </c>
      <c r="I42" s="16">
        <f t="shared" si="2"/>
        <v>0</v>
      </c>
      <c r="J42" s="16"/>
    </row>
    <row r="43" spans="1:10" x14ac:dyDescent="0.25">
      <c r="A43" s="1" t="s">
        <v>49</v>
      </c>
      <c r="B43" s="1" t="s">
        <v>52</v>
      </c>
      <c r="C43" s="11"/>
      <c r="D43" s="11"/>
      <c r="E43" s="11"/>
      <c r="F43" s="11"/>
      <c r="G43" s="11">
        <f t="shared" si="0"/>
        <v>0</v>
      </c>
      <c r="H43" s="17">
        <f t="shared" si="1"/>
        <v>0</v>
      </c>
      <c r="I43" s="16">
        <f t="shared" si="2"/>
        <v>0</v>
      </c>
      <c r="J43" s="16"/>
    </row>
    <row r="44" spans="1:10" x14ac:dyDescent="0.25">
      <c r="A44" s="26" t="s">
        <v>12</v>
      </c>
      <c r="B44" s="26"/>
      <c r="C44" s="12">
        <f t="shared" ref="C44:H44" si="3">SUM(C8:C43)</f>
        <v>533900</v>
      </c>
      <c r="D44" s="12">
        <f t="shared" si="3"/>
        <v>894</v>
      </c>
      <c r="E44" s="12">
        <f t="shared" si="3"/>
        <v>324172</v>
      </c>
      <c r="F44" s="12">
        <f t="shared" si="3"/>
        <v>0</v>
      </c>
      <c r="G44" s="12">
        <f t="shared" si="3"/>
        <v>858966</v>
      </c>
      <c r="H44" s="15">
        <f t="shared" si="3"/>
        <v>421.87000000000006</v>
      </c>
      <c r="I44" s="18"/>
      <c r="J44" s="18"/>
    </row>
    <row r="45" spans="1:10" x14ac:dyDescent="0.25">
      <c r="A45" s="26" t="s">
        <v>14</v>
      </c>
      <c r="B45" s="26"/>
      <c r="C45" s="13">
        <f>ROUND(C44/G44,2)</f>
        <v>0.62</v>
      </c>
      <c r="D45" s="13">
        <f>ROUND(D44/G44,2)</f>
        <v>0</v>
      </c>
      <c r="E45" s="13">
        <f>ROUND(E44/G44,2)</f>
        <v>0.38</v>
      </c>
      <c r="F45" s="13">
        <f>ROUND(F44/G44,2)</f>
        <v>0</v>
      </c>
      <c r="G45" s="14"/>
      <c r="H45" s="14"/>
      <c r="I45" s="18"/>
      <c r="J45" s="18"/>
    </row>
    <row r="46" spans="1:10" x14ac:dyDescent="0.25">
      <c r="A46" s="2" t="s">
        <v>53</v>
      </c>
      <c r="B46" s="2"/>
      <c r="C46" s="14"/>
      <c r="D46" s="14"/>
      <c r="E46" s="14"/>
      <c r="F46" s="14"/>
      <c r="G46" s="14"/>
      <c r="H46" s="14"/>
      <c r="I46" s="18"/>
      <c r="J46" s="18"/>
    </row>
    <row r="47" spans="1:10" x14ac:dyDescent="0.25">
      <c r="C47" s="9"/>
      <c r="D47" s="9"/>
      <c r="E47" s="9"/>
      <c r="F47" s="9"/>
      <c r="G47" s="9"/>
      <c r="H47" s="9"/>
      <c r="I47" s="10"/>
      <c r="J47" s="10"/>
    </row>
    <row r="48" spans="1:10" x14ac:dyDescent="0.25">
      <c r="C48" s="9"/>
      <c r="D48" s="9"/>
      <c r="E48" s="9"/>
      <c r="F48" s="9"/>
      <c r="G48" s="9"/>
      <c r="H48" s="9"/>
      <c r="I48" s="10"/>
      <c r="J48" s="10"/>
    </row>
    <row r="49" spans="1:10" x14ac:dyDescent="0.25">
      <c r="C49" s="9"/>
      <c r="D49" s="9"/>
      <c r="E49" s="9"/>
      <c r="F49" s="9"/>
      <c r="G49" s="9"/>
      <c r="H49" s="9"/>
      <c r="I49" s="10"/>
      <c r="J49" s="10"/>
    </row>
    <row r="50" spans="1:10" x14ac:dyDescent="0.25">
      <c r="A50" s="26" t="s">
        <v>54</v>
      </c>
      <c r="B50" s="26"/>
      <c r="C50" s="12" t="s">
        <v>8</v>
      </c>
      <c r="D50" s="12" t="s">
        <v>9</v>
      </c>
      <c r="E50" s="12" t="s">
        <v>10</v>
      </c>
      <c r="F50" s="12" t="s">
        <v>11</v>
      </c>
      <c r="G50" s="12" t="s">
        <v>12</v>
      </c>
      <c r="H50" s="15" t="s">
        <v>13</v>
      </c>
      <c r="I50" s="18"/>
      <c r="J50" s="18"/>
    </row>
    <row r="51" spans="1:10" x14ac:dyDescent="0.25">
      <c r="A51" s="21" t="s">
        <v>55</v>
      </c>
      <c r="B51" s="21"/>
      <c r="C51" s="11">
        <v>308330</v>
      </c>
      <c r="D51" s="11">
        <v>894</v>
      </c>
      <c r="E51" s="11">
        <v>278884</v>
      </c>
      <c r="F51" s="11">
        <v>0</v>
      </c>
      <c r="G51" s="11">
        <f>SUM(C51:F51)</f>
        <v>588108</v>
      </c>
      <c r="H51" s="17">
        <f>ROUND(G51/2036,2)</f>
        <v>288.85000000000002</v>
      </c>
      <c r="I51" s="10"/>
      <c r="J51" s="10"/>
    </row>
    <row r="52" spans="1:10" x14ac:dyDescent="0.25">
      <c r="A52" s="21" t="s">
        <v>56</v>
      </c>
      <c r="B52" s="21"/>
      <c r="C52" s="11">
        <v>225570</v>
      </c>
      <c r="D52" s="11">
        <v>0</v>
      </c>
      <c r="E52" s="11">
        <v>45288</v>
      </c>
      <c r="F52" s="11">
        <v>0</v>
      </c>
      <c r="G52" s="11">
        <f>SUM(C52:F52)</f>
        <v>270858</v>
      </c>
      <c r="H52" s="17">
        <f>ROUND(G52/2036,2)</f>
        <v>133.03</v>
      </c>
      <c r="I52" s="10"/>
      <c r="J52" s="10"/>
    </row>
    <row r="53" spans="1:10" x14ac:dyDescent="0.25">
      <c r="A53" s="21" t="s">
        <v>57</v>
      </c>
      <c r="B53" s="21"/>
      <c r="C53" s="11">
        <v>0</v>
      </c>
      <c r="D53" s="11">
        <v>0</v>
      </c>
      <c r="E53" s="11">
        <v>0</v>
      </c>
      <c r="F53" s="11">
        <v>0</v>
      </c>
      <c r="G53" s="11">
        <f>SUM(C53:F53)</f>
        <v>0</v>
      </c>
      <c r="H53" s="17">
        <f>ROUND(G53/2036,2)</f>
        <v>0</v>
      </c>
      <c r="I53" s="10"/>
      <c r="J53" s="10"/>
    </row>
    <row r="54" spans="1:10" x14ac:dyDescent="0.25">
      <c r="C54" s="9"/>
      <c r="D54" s="9"/>
      <c r="E54" s="9"/>
      <c r="F54" s="9"/>
      <c r="G54" s="9"/>
      <c r="H54" s="9"/>
      <c r="I54" s="10"/>
      <c r="J54" s="10"/>
    </row>
    <row r="55" spans="1:10" x14ac:dyDescent="0.25">
      <c r="C55" s="9"/>
      <c r="D55" s="9"/>
      <c r="E55" s="9"/>
      <c r="F55" s="9"/>
      <c r="G55" s="9"/>
      <c r="H55" s="9"/>
      <c r="I55" s="10"/>
      <c r="J55" s="10"/>
    </row>
    <row r="56" spans="1:10" x14ac:dyDescent="0.25">
      <c r="C56" s="9"/>
      <c r="D56" s="9"/>
      <c r="E56" s="9"/>
      <c r="F56" s="9"/>
      <c r="G56" s="9"/>
      <c r="H56" s="9"/>
      <c r="I56" s="10"/>
      <c r="J56" s="10"/>
    </row>
    <row r="57" spans="1:10" x14ac:dyDescent="0.25">
      <c r="C57" s="9"/>
      <c r="D57" s="9"/>
      <c r="E57" s="9"/>
      <c r="F57" s="9"/>
      <c r="G57" s="9"/>
      <c r="H57" s="9"/>
      <c r="I57" s="10"/>
      <c r="J57" s="10"/>
    </row>
    <row r="58" spans="1:10" x14ac:dyDescent="0.25">
      <c r="A58" s="26" t="s">
        <v>58</v>
      </c>
      <c r="B58" s="26"/>
      <c r="C58" s="15" t="s">
        <v>2</v>
      </c>
      <c r="D58" s="15">
        <v>2024</v>
      </c>
      <c r="E58" s="15" t="s">
        <v>60</v>
      </c>
      <c r="F58" s="14"/>
      <c r="G58" s="15" t="s">
        <v>61</v>
      </c>
      <c r="H58" s="15" t="s">
        <v>2</v>
      </c>
      <c r="I58" s="13" t="s">
        <v>62</v>
      </c>
      <c r="J58" s="13" t="s">
        <v>60</v>
      </c>
    </row>
    <row r="59" spans="1:10" x14ac:dyDescent="0.25">
      <c r="A59" s="21" t="s">
        <v>59</v>
      </c>
      <c r="B59" s="21"/>
      <c r="C59" s="16">
        <f>ROUND(0.7068, 4)</f>
        <v>0.70679999999999998</v>
      </c>
      <c r="D59" s="16">
        <f>ROUND(0.6758, 4)</f>
        <v>0.67579999999999996</v>
      </c>
      <c r="E59" s="16">
        <f>ROUND(0.7856, 4)</f>
        <v>0.78559999999999997</v>
      </c>
      <c r="F59" s="9"/>
      <c r="G59" s="15" t="s">
        <v>63</v>
      </c>
      <c r="H59" s="27" t="s">
        <v>64</v>
      </c>
      <c r="I59" s="24" t="s">
        <v>65</v>
      </c>
      <c r="J59" s="24" t="s">
        <v>66</v>
      </c>
    </row>
    <row r="60" spans="1:10" x14ac:dyDescent="0.25">
      <c r="A60" s="21" t="s">
        <v>67</v>
      </c>
      <c r="B60" s="21"/>
      <c r="C60" s="16">
        <f>ROUND(0.7068, 4)</f>
        <v>0.70679999999999998</v>
      </c>
      <c r="D60" s="16">
        <f>ROUND(0.6404, 4)</f>
        <v>0.64039999999999997</v>
      </c>
      <c r="E60" s="16">
        <f>ROUND(0.7702, 4)</f>
        <v>0.7702</v>
      </c>
      <c r="F60" s="9"/>
      <c r="G60" s="15" t="s">
        <v>68</v>
      </c>
      <c r="H60" s="28"/>
      <c r="I60" s="25"/>
      <c r="J60" s="25"/>
    </row>
    <row r="61" spans="1:10" x14ac:dyDescent="0.25">
      <c r="C61" s="9"/>
      <c r="D61" s="9"/>
      <c r="E61" s="9"/>
      <c r="F61" s="9"/>
      <c r="G61" s="9"/>
      <c r="H61" s="9"/>
      <c r="I61" s="10"/>
      <c r="J61" s="10"/>
    </row>
    <row r="62" spans="1:10" x14ac:dyDescent="0.25">
      <c r="C62" s="9"/>
      <c r="D62" s="9"/>
      <c r="E62" s="9"/>
      <c r="F62" s="9"/>
      <c r="G62" s="9"/>
      <c r="H62" s="9"/>
      <c r="I62" s="10"/>
      <c r="J62" s="10"/>
    </row>
    <row r="63" spans="1:10" x14ac:dyDescent="0.25">
      <c r="C63" s="9"/>
      <c r="D63" s="9"/>
      <c r="E63" s="9"/>
      <c r="F63" s="9"/>
      <c r="G63" s="9"/>
      <c r="H63" s="9"/>
      <c r="I63" s="10"/>
      <c r="J63" s="10"/>
    </row>
    <row r="64" spans="1:10" x14ac:dyDescent="0.25">
      <c r="A64" s="26" t="s">
        <v>69</v>
      </c>
      <c r="B64" s="26"/>
      <c r="C64" s="15" t="s">
        <v>2</v>
      </c>
      <c r="D64" s="15" t="s">
        <v>89</v>
      </c>
      <c r="E64" s="15" t="s">
        <v>71</v>
      </c>
      <c r="F64" s="15" t="s">
        <v>72</v>
      </c>
      <c r="G64" s="15" t="s">
        <v>73</v>
      </c>
      <c r="H64" s="14"/>
      <c r="I64" s="18"/>
      <c r="J64" s="18"/>
    </row>
    <row r="65" spans="1:10" x14ac:dyDescent="0.25">
      <c r="A65" s="21" t="s">
        <v>74</v>
      </c>
      <c r="B65" s="21"/>
      <c r="C65" s="17">
        <v>110.79</v>
      </c>
      <c r="D65" s="17">
        <v>100.41</v>
      </c>
      <c r="E65" s="17">
        <v>96.15</v>
      </c>
      <c r="F65" s="17">
        <v>57.94</v>
      </c>
      <c r="G65" s="17">
        <f>12/12*C65</f>
        <v>110.79</v>
      </c>
      <c r="H65" s="9"/>
      <c r="I65" s="10"/>
      <c r="J65" s="10"/>
    </row>
    <row r="66" spans="1:10" x14ac:dyDescent="0.25">
      <c r="A66" s="21" t="s">
        <v>75</v>
      </c>
      <c r="B66" s="21"/>
      <c r="C66" s="17">
        <v>48.71</v>
      </c>
      <c r="D66" s="17">
        <v>46.15</v>
      </c>
      <c r="E66" s="17">
        <v>62.28</v>
      </c>
      <c r="F66" s="17">
        <v>66.599999999999994</v>
      </c>
      <c r="G66" s="17">
        <f>12/12*C66</f>
        <v>48.71</v>
      </c>
      <c r="H66" s="9"/>
      <c r="I66" s="10"/>
      <c r="J66" s="10"/>
    </row>
    <row r="67" spans="1:10" x14ac:dyDescent="0.25">
      <c r="A67" s="21" t="s">
        <v>76</v>
      </c>
      <c r="B67" s="21"/>
      <c r="C67" s="17">
        <v>288.85000000000002</v>
      </c>
      <c r="D67" s="17">
        <v>275.08</v>
      </c>
      <c r="E67" s="17">
        <v>300.02</v>
      </c>
      <c r="F67" s="17">
        <v>295.08</v>
      </c>
      <c r="G67" s="17">
        <f>12/12*C67</f>
        <v>288.85000000000002</v>
      </c>
      <c r="H67" s="9"/>
      <c r="I67" s="10"/>
      <c r="J67" s="10"/>
    </row>
    <row r="68" spans="1:10" x14ac:dyDescent="0.25">
      <c r="A68" s="21" t="s">
        <v>77</v>
      </c>
      <c r="B68" s="21"/>
      <c r="C68" s="17">
        <v>133.03</v>
      </c>
      <c r="D68" s="17">
        <v>124.16</v>
      </c>
      <c r="E68" s="17">
        <v>120.96</v>
      </c>
      <c r="F68" s="17">
        <v>83.12</v>
      </c>
      <c r="G68" s="17">
        <f>12/12*C68</f>
        <v>133.03</v>
      </c>
      <c r="H68" s="9"/>
      <c r="I68" s="10"/>
      <c r="J68" s="10"/>
    </row>
    <row r="69" spans="1:10" x14ac:dyDescent="0.25">
      <c r="C69" s="9"/>
      <c r="D69" s="9"/>
      <c r="E69" s="9"/>
      <c r="F69" s="9"/>
      <c r="G69" s="9"/>
      <c r="H69" s="9"/>
      <c r="I69" s="10"/>
      <c r="J69" s="10"/>
    </row>
    <row r="70" spans="1:10" x14ac:dyDescent="0.25">
      <c r="C70" s="9"/>
      <c r="D70" s="9"/>
      <c r="E70" s="9"/>
      <c r="F70" s="9"/>
      <c r="G70" s="9"/>
      <c r="H70" s="9"/>
      <c r="I70" s="10"/>
      <c r="J70" s="10"/>
    </row>
    <row r="71" spans="1:10" x14ac:dyDescent="0.25">
      <c r="A71" s="22" t="s">
        <v>61</v>
      </c>
      <c r="B71" s="23"/>
      <c r="C71" s="9"/>
      <c r="D71" s="9"/>
      <c r="E71" s="9"/>
      <c r="F71" s="9"/>
      <c r="G71" s="9"/>
      <c r="H71" s="9"/>
      <c r="I71" s="10"/>
      <c r="J71" s="10"/>
    </row>
    <row r="72" spans="1:10" x14ac:dyDescent="0.25">
      <c r="A72" s="3" t="s">
        <v>78</v>
      </c>
      <c r="B72" s="1" t="s">
        <v>90</v>
      </c>
      <c r="C72" s="9"/>
      <c r="D72" s="9"/>
      <c r="E72" s="9"/>
      <c r="F72" s="9"/>
      <c r="G72" s="9"/>
      <c r="H72" s="9"/>
      <c r="I72" s="10"/>
      <c r="J72" s="10"/>
    </row>
    <row r="73" spans="1:10" x14ac:dyDescent="0.25">
      <c r="A73" s="3" t="s">
        <v>71</v>
      </c>
      <c r="B73" s="1" t="s">
        <v>80</v>
      </c>
      <c r="C73" s="9"/>
      <c r="D73" s="9"/>
      <c r="E73" s="9"/>
      <c r="F73" s="9"/>
      <c r="G73" s="9"/>
      <c r="H73" s="9"/>
      <c r="I73" s="10"/>
      <c r="J73" s="10"/>
    </row>
    <row r="74" spans="1:10" x14ac:dyDescent="0.25">
      <c r="A74" s="3" t="s">
        <v>72</v>
      </c>
      <c r="B74" s="1" t="s">
        <v>81</v>
      </c>
    </row>
    <row r="75" spans="1:10" x14ac:dyDescent="0.25">
      <c r="A75" s="3" t="s">
        <v>73</v>
      </c>
      <c r="B75" s="1" t="s">
        <v>82</v>
      </c>
    </row>
  </sheetData>
  <mergeCells count="19">
    <mergeCell ref="C7:G7"/>
    <mergeCell ref="A44:B44"/>
    <mergeCell ref="A45:B45"/>
    <mergeCell ref="A50:B50"/>
    <mergeCell ref="A51:B51"/>
    <mergeCell ref="J59:J60"/>
    <mergeCell ref="A60:B60"/>
    <mergeCell ref="A64:B64"/>
    <mergeCell ref="A65:B65"/>
    <mergeCell ref="A52:B52"/>
    <mergeCell ref="A53:B53"/>
    <mergeCell ref="A58:B58"/>
    <mergeCell ref="A59:B59"/>
    <mergeCell ref="H59:H60"/>
    <mergeCell ref="A66:B66"/>
    <mergeCell ref="A67:B67"/>
    <mergeCell ref="A68:B68"/>
    <mergeCell ref="A71:B71"/>
    <mergeCell ref="I59:I60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J72"/>
  <sheetViews>
    <sheetView workbookViewId="0">
      <selection activeCell="H5" sqref="H5"/>
    </sheetView>
  </sheetViews>
  <sheetFormatPr defaultRowHeight="15" x14ac:dyDescent="0.25"/>
  <cols>
    <col min="1" max="1" width="28.42578125" bestFit="1" customWidth="1"/>
    <col min="2" max="2" width="59.5703125" bestFit="1" customWidth="1"/>
    <col min="3" max="3" width="12.7109375" bestFit="1" customWidth="1"/>
    <col min="4" max="4" width="23.42578125" bestFit="1" customWidth="1"/>
    <col min="5" max="5" width="13.85546875" bestFit="1" customWidth="1"/>
    <col min="6" max="6" width="8.5703125" bestFit="1" customWidth="1"/>
    <col min="7" max="7" width="47.7109375" bestFit="1" customWidth="1"/>
    <col min="8" max="9" width="16.7109375" bestFit="1" customWidth="1"/>
    <col min="10" max="10" width="24.42578125" bestFit="1" customWidth="1"/>
  </cols>
  <sheetData>
    <row r="2" spans="1:10" ht="18.75" x14ac:dyDescent="0.3">
      <c r="A2" s="3" t="s">
        <v>0</v>
      </c>
      <c r="B2" s="4" t="s">
        <v>194</v>
      </c>
    </row>
    <row r="3" spans="1:10" x14ac:dyDescent="0.25">
      <c r="A3" s="3" t="s">
        <v>2</v>
      </c>
      <c r="B3" s="1" t="s">
        <v>3</v>
      </c>
    </row>
    <row r="4" spans="1:10" x14ac:dyDescent="0.25">
      <c r="A4" s="3" t="s">
        <v>4</v>
      </c>
      <c r="B4" s="20">
        <v>600</v>
      </c>
    </row>
    <row r="7" spans="1:10" x14ac:dyDescent="0.25">
      <c r="C7" s="22" t="s">
        <v>5</v>
      </c>
      <c r="D7" s="21"/>
      <c r="E7" s="21"/>
      <c r="F7" s="21"/>
      <c r="G7" s="21"/>
    </row>
    <row r="8" spans="1:10" x14ac:dyDescent="0.25">
      <c r="A8" s="3" t="s">
        <v>6</v>
      </c>
      <c r="B8" s="3" t="s">
        <v>7</v>
      </c>
      <c r="C8" s="15" t="s">
        <v>8</v>
      </c>
      <c r="D8" s="15" t="s">
        <v>9</v>
      </c>
      <c r="E8" s="15" t="s">
        <v>10</v>
      </c>
      <c r="F8" s="15" t="s">
        <v>11</v>
      </c>
      <c r="G8" s="15" t="s">
        <v>12</v>
      </c>
      <c r="H8" s="15" t="s">
        <v>13</v>
      </c>
      <c r="I8" s="15" t="s">
        <v>14</v>
      </c>
      <c r="J8" s="15" t="s">
        <v>15</v>
      </c>
    </row>
    <row r="9" spans="1:10" x14ac:dyDescent="0.25">
      <c r="A9" s="1" t="s">
        <v>16</v>
      </c>
      <c r="B9" s="1" t="s">
        <v>17</v>
      </c>
      <c r="C9" s="11"/>
      <c r="D9" s="11"/>
      <c r="E9" s="11">
        <v>14</v>
      </c>
      <c r="F9" s="11"/>
      <c r="G9" s="11">
        <f t="shared" ref="G9:G37" si="0">SUM(C9:F9)</f>
        <v>14</v>
      </c>
      <c r="H9" s="17">
        <f t="shared" ref="H9:H37" si="1">ROUND(G9/600,2)</f>
        <v>0.02</v>
      </c>
      <c r="I9" s="16">
        <f t="shared" ref="I9:I37" si="2">ROUND(G9/$G$38,3)</f>
        <v>0</v>
      </c>
      <c r="J9" s="16"/>
    </row>
    <row r="10" spans="1:10" x14ac:dyDescent="0.25">
      <c r="A10" s="1" t="s">
        <v>16</v>
      </c>
      <c r="B10" s="1" t="s">
        <v>19</v>
      </c>
      <c r="C10" s="11">
        <v>17800</v>
      </c>
      <c r="D10" s="11"/>
      <c r="E10" s="11"/>
      <c r="F10" s="11"/>
      <c r="G10" s="11">
        <f t="shared" si="0"/>
        <v>17800</v>
      </c>
      <c r="H10" s="17">
        <f t="shared" si="1"/>
        <v>29.67</v>
      </c>
      <c r="I10" s="16">
        <f t="shared" si="2"/>
        <v>8.5000000000000006E-2</v>
      </c>
      <c r="J10" s="16">
        <f>ROUND(G10/20760-1,2)</f>
        <v>-0.14000000000000001</v>
      </c>
    </row>
    <row r="11" spans="1:10" x14ac:dyDescent="0.25">
      <c r="A11" s="1" t="s">
        <v>16</v>
      </c>
      <c r="B11" s="1" t="s">
        <v>20</v>
      </c>
      <c r="C11" s="11">
        <v>27630</v>
      </c>
      <c r="D11" s="11"/>
      <c r="E11" s="11"/>
      <c r="F11" s="11"/>
      <c r="G11" s="11">
        <f t="shared" si="0"/>
        <v>27630</v>
      </c>
      <c r="H11" s="17">
        <f t="shared" si="1"/>
        <v>46.05</v>
      </c>
      <c r="I11" s="16">
        <f t="shared" si="2"/>
        <v>0.13200000000000001</v>
      </c>
      <c r="J11" s="16">
        <f>ROUND(G11/29050-1,2)</f>
        <v>-0.05</v>
      </c>
    </row>
    <row r="12" spans="1:10" x14ac:dyDescent="0.25">
      <c r="A12" s="1" t="s">
        <v>16</v>
      </c>
      <c r="B12" s="1" t="s">
        <v>87</v>
      </c>
      <c r="C12" s="11"/>
      <c r="D12" s="11"/>
      <c r="E12" s="11">
        <v>14</v>
      </c>
      <c r="F12" s="11"/>
      <c r="G12" s="11">
        <f t="shared" si="0"/>
        <v>14</v>
      </c>
      <c r="H12" s="17">
        <f t="shared" si="1"/>
        <v>0.02</v>
      </c>
      <c r="I12" s="16">
        <f t="shared" si="2"/>
        <v>0</v>
      </c>
      <c r="J12" s="16"/>
    </row>
    <row r="13" spans="1:10" x14ac:dyDescent="0.25">
      <c r="A13" s="1" t="s">
        <v>16</v>
      </c>
      <c r="B13" s="1" t="s">
        <v>21</v>
      </c>
      <c r="C13" s="11"/>
      <c r="D13" s="11"/>
      <c r="E13" s="11">
        <v>64</v>
      </c>
      <c r="F13" s="11"/>
      <c r="G13" s="11">
        <f t="shared" si="0"/>
        <v>64</v>
      </c>
      <c r="H13" s="17">
        <f t="shared" si="1"/>
        <v>0.11</v>
      </c>
      <c r="I13" s="16">
        <f t="shared" si="2"/>
        <v>0</v>
      </c>
      <c r="J13" s="16">
        <f>ROUND(G13/152-1,2)</f>
        <v>-0.57999999999999996</v>
      </c>
    </row>
    <row r="14" spans="1:10" x14ac:dyDescent="0.25">
      <c r="A14" s="1" t="s">
        <v>16</v>
      </c>
      <c r="B14" s="1" t="s">
        <v>22</v>
      </c>
      <c r="C14" s="11"/>
      <c r="D14" s="11"/>
      <c r="E14" s="11">
        <v>1100</v>
      </c>
      <c r="F14" s="11"/>
      <c r="G14" s="11">
        <f t="shared" si="0"/>
        <v>1100</v>
      </c>
      <c r="H14" s="17">
        <f t="shared" si="1"/>
        <v>1.83</v>
      </c>
      <c r="I14" s="16">
        <f t="shared" si="2"/>
        <v>5.0000000000000001E-3</v>
      </c>
      <c r="J14" s="16"/>
    </row>
    <row r="15" spans="1:10" x14ac:dyDescent="0.25">
      <c r="A15" s="1" t="s">
        <v>16</v>
      </c>
      <c r="B15" s="1" t="s">
        <v>23</v>
      </c>
      <c r="C15" s="11"/>
      <c r="D15" s="11"/>
      <c r="E15" s="11">
        <v>8160</v>
      </c>
      <c r="F15" s="11"/>
      <c r="G15" s="11">
        <f t="shared" si="0"/>
        <v>8160</v>
      </c>
      <c r="H15" s="17">
        <f t="shared" si="1"/>
        <v>13.6</v>
      </c>
      <c r="I15" s="16">
        <f t="shared" si="2"/>
        <v>3.9E-2</v>
      </c>
      <c r="J15" s="16">
        <f>ROUND(G15/21180-1,2)</f>
        <v>-0.61</v>
      </c>
    </row>
    <row r="16" spans="1:10" x14ac:dyDescent="0.25">
      <c r="A16" s="1" t="s">
        <v>16</v>
      </c>
      <c r="B16" s="1" t="s">
        <v>24</v>
      </c>
      <c r="C16" s="11">
        <v>22435</v>
      </c>
      <c r="D16" s="11"/>
      <c r="E16" s="11"/>
      <c r="F16" s="11"/>
      <c r="G16" s="11">
        <f t="shared" si="0"/>
        <v>22435</v>
      </c>
      <c r="H16" s="17">
        <f t="shared" si="1"/>
        <v>37.39</v>
      </c>
      <c r="I16" s="16">
        <f t="shared" si="2"/>
        <v>0.107</v>
      </c>
      <c r="J16" s="16">
        <f>ROUND(G16/24160-1,2)</f>
        <v>-7.0000000000000007E-2</v>
      </c>
    </row>
    <row r="17" spans="1:10" x14ac:dyDescent="0.25">
      <c r="A17" s="1" t="s">
        <v>16</v>
      </c>
      <c r="B17" s="1" t="s">
        <v>25</v>
      </c>
      <c r="C17" s="11"/>
      <c r="D17" s="11"/>
      <c r="E17" s="11">
        <v>2090</v>
      </c>
      <c r="F17" s="11"/>
      <c r="G17" s="11">
        <f t="shared" si="0"/>
        <v>2090</v>
      </c>
      <c r="H17" s="17">
        <f t="shared" si="1"/>
        <v>3.48</v>
      </c>
      <c r="I17" s="16">
        <f t="shared" si="2"/>
        <v>0.01</v>
      </c>
      <c r="J17" s="16">
        <f>ROUND(G17/950-1,2)</f>
        <v>1.2</v>
      </c>
    </row>
    <row r="18" spans="1:10" x14ac:dyDescent="0.25">
      <c r="A18" s="1" t="s">
        <v>16</v>
      </c>
      <c r="B18" s="1" t="s">
        <v>26</v>
      </c>
      <c r="C18" s="11">
        <v>25640</v>
      </c>
      <c r="D18" s="11"/>
      <c r="E18" s="11"/>
      <c r="F18" s="11"/>
      <c r="G18" s="11">
        <f t="shared" si="0"/>
        <v>25640</v>
      </c>
      <c r="H18" s="17">
        <f t="shared" si="1"/>
        <v>42.73</v>
      </c>
      <c r="I18" s="16">
        <f t="shared" si="2"/>
        <v>0.122</v>
      </c>
      <c r="J18" s="16">
        <f>ROUND(G18/26320-1,2)</f>
        <v>-0.03</v>
      </c>
    </row>
    <row r="19" spans="1:10" x14ac:dyDescent="0.25">
      <c r="A19" s="1" t="s">
        <v>16</v>
      </c>
      <c r="B19" s="1" t="s">
        <v>27</v>
      </c>
      <c r="C19" s="11"/>
      <c r="D19" s="11"/>
      <c r="E19" s="11">
        <v>879</v>
      </c>
      <c r="F19" s="11"/>
      <c r="G19" s="11">
        <f t="shared" si="0"/>
        <v>879</v>
      </c>
      <c r="H19" s="17">
        <f t="shared" si="1"/>
        <v>1.47</v>
      </c>
      <c r="I19" s="16">
        <f t="shared" si="2"/>
        <v>4.0000000000000001E-3</v>
      </c>
      <c r="J19" s="16">
        <f>ROUND(G19/779-1,2)</f>
        <v>0.13</v>
      </c>
    </row>
    <row r="20" spans="1:10" x14ac:dyDescent="0.25">
      <c r="A20" s="1" t="s">
        <v>16</v>
      </c>
      <c r="B20" s="1" t="s">
        <v>28</v>
      </c>
      <c r="C20" s="11"/>
      <c r="D20" s="11"/>
      <c r="E20" s="11">
        <v>382</v>
      </c>
      <c r="F20" s="11"/>
      <c r="G20" s="11">
        <f t="shared" si="0"/>
        <v>382</v>
      </c>
      <c r="H20" s="17">
        <f t="shared" si="1"/>
        <v>0.64</v>
      </c>
      <c r="I20" s="16">
        <f t="shared" si="2"/>
        <v>2E-3</v>
      </c>
      <c r="J20" s="16">
        <f>ROUND(G20/275-1,2)</f>
        <v>0.39</v>
      </c>
    </row>
    <row r="21" spans="1:10" x14ac:dyDescent="0.25">
      <c r="A21" s="1" t="s">
        <v>16</v>
      </c>
      <c r="B21" s="1" t="s">
        <v>30</v>
      </c>
      <c r="C21" s="11"/>
      <c r="D21" s="11"/>
      <c r="E21" s="11">
        <v>960</v>
      </c>
      <c r="F21" s="11"/>
      <c r="G21" s="11">
        <f t="shared" si="0"/>
        <v>960</v>
      </c>
      <c r="H21" s="17">
        <f t="shared" si="1"/>
        <v>1.6</v>
      </c>
      <c r="I21" s="16">
        <f t="shared" si="2"/>
        <v>5.0000000000000001E-3</v>
      </c>
      <c r="J21" s="16">
        <f>ROUND(G21/2200-1,2)</f>
        <v>-0.56000000000000005</v>
      </c>
    </row>
    <row r="22" spans="1:10" x14ac:dyDescent="0.25">
      <c r="A22" s="1" t="s">
        <v>16</v>
      </c>
      <c r="B22" s="1" t="s">
        <v>31</v>
      </c>
      <c r="C22" s="11"/>
      <c r="D22" s="11"/>
      <c r="E22" s="11">
        <v>160</v>
      </c>
      <c r="F22" s="11"/>
      <c r="G22" s="11">
        <f t="shared" si="0"/>
        <v>160</v>
      </c>
      <c r="H22" s="17">
        <f t="shared" si="1"/>
        <v>0.27</v>
      </c>
      <c r="I22" s="16">
        <f t="shared" si="2"/>
        <v>1E-3</v>
      </c>
      <c r="J22" s="16">
        <f>ROUND(G22/200-1,2)</f>
        <v>-0.2</v>
      </c>
    </row>
    <row r="23" spans="1:10" x14ac:dyDescent="0.25">
      <c r="A23" s="1" t="s">
        <v>16</v>
      </c>
      <c r="B23" s="1" t="s">
        <v>33</v>
      </c>
      <c r="C23" s="11"/>
      <c r="D23" s="11"/>
      <c r="E23" s="11">
        <v>1043</v>
      </c>
      <c r="F23" s="11"/>
      <c r="G23" s="11">
        <f t="shared" si="0"/>
        <v>1043</v>
      </c>
      <c r="H23" s="17">
        <f t="shared" si="1"/>
        <v>1.74</v>
      </c>
      <c r="I23" s="16">
        <f t="shared" si="2"/>
        <v>5.0000000000000001E-3</v>
      </c>
      <c r="J23" s="16">
        <f>ROUND(G23/825-1,2)</f>
        <v>0.26</v>
      </c>
    </row>
    <row r="24" spans="1:10" x14ac:dyDescent="0.25">
      <c r="A24" s="1" t="s">
        <v>16</v>
      </c>
      <c r="B24" s="1" t="s">
        <v>34</v>
      </c>
      <c r="C24" s="11"/>
      <c r="D24" s="11">
        <v>25</v>
      </c>
      <c r="E24" s="11">
        <v>32</v>
      </c>
      <c r="F24" s="11"/>
      <c r="G24" s="11">
        <f t="shared" si="0"/>
        <v>57</v>
      </c>
      <c r="H24" s="17">
        <f t="shared" si="1"/>
        <v>0.1</v>
      </c>
      <c r="I24" s="16">
        <f t="shared" si="2"/>
        <v>0</v>
      </c>
      <c r="J24" s="16">
        <f>ROUND(G24/67-1,2)</f>
        <v>-0.15</v>
      </c>
    </row>
    <row r="25" spans="1:10" x14ac:dyDescent="0.25">
      <c r="A25" s="1" t="s">
        <v>16</v>
      </c>
      <c r="B25" s="1" t="s">
        <v>37</v>
      </c>
      <c r="C25" s="11"/>
      <c r="D25" s="11"/>
      <c r="E25" s="11">
        <v>550</v>
      </c>
      <c r="F25" s="11"/>
      <c r="G25" s="11">
        <f t="shared" si="0"/>
        <v>550</v>
      </c>
      <c r="H25" s="17">
        <f t="shared" si="1"/>
        <v>0.92</v>
      </c>
      <c r="I25" s="16">
        <f t="shared" si="2"/>
        <v>3.0000000000000001E-3</v>
      </c>
      <c r="J25" s="16">
        <f>ROUND(G25/1050-1,2)</f>
        <v>-0.48</v>
      </c>
    </row>
    <row r="26" spans="1:10" x14ac:dyDescent="0.25">
      <c r="A26" s="1" t="s">
        <v>16</v>
      </c>
      <c r="B26" s="1" t="s">
        <v>38</v>
      </c>
      <c r="C26" s="11"/>
      <c r="D26" s="11"/>
      <c r="E26" s="11">
        <v>1720</v>
      </c>
      <c r="F26" s="11"/>
      <c r="G26" s="11">
        <f t="shared" si="0"/>
        <v>1720</v>
      </c>
      <c r="H26" s="17">
        <f t="shared" si="1"/>
        <v>2.87</v>
      </c>
      <c r="I26" s="16">
        <f t="shared" si="2"/>
        <v>8.0000000000000002E-3</v>
      </c>
      <c r="J26" s="16">
        <f>ROUND(G26/1920-1,2)</f>
        <v>-0.1</v>
      </c>
    </row>
    <row r="27" spans="1:10" x14ac:dyDescent="0.25">
      <c r="A27" s="1" t="s">
        <v>16</v>
      </c>
      <c r="B27" s="1" t="s">
        <v>39</v>
      </c>
      <c r="C27" s="11"/>
      <c r="D27" s="11"/>
      <c r="E27" s="11">
        <v>1830</v>
      </c>
      <c r="F27" s="11"/>
      <c r="G27" s="11">
        <f t="shared" si="0"/>
        <v>1830</v>
      </c>
      <c r="H27" s="17">
        <f t="shared" si="1"/>
        <v>3.05</v>
      </c>
      <c r="I27" s="16">
        <f t="shared" si="2"/>
        <v>8.9999999999999993E-3</v>
      </c>
      <c r="J27" s="16">
        <f>ROUND(G27/1320-1,2)</f>
        <v>0.39</v>
      </c>
    </row>
    <row r="28" spans="1:10" x14ac:dyDescent="0.25">
      <c r="A28" s="1" t="s">
        <v>16</v>
      </c>
      <c r="B28" s="1" t="s">
        <v>40</v>
      </c>
      <c r="C28" s="11"/>
      <c r="D28" s="11"/>
      <c r="E28" s="11">
        <v>18650</v>
      </c>
      <c r="F28" s="11"/>
      <c r="G28" s="11">
        <f t="shared" si="0"/>
        <v>18650</v>
      </c>
      <c r="H28" s="17">
        <f t="shared" si="1"/>
        <v>31.08</v>
      </c>
      <c r="I28" s="16">
        <f t="shared" si="2"/>
        <v>8.8999999999999996E-2</v>
      </c>
      <c r="J28" s="16">
        <f>ROUND(G28/21540-1,2)</f>
        <v>-0.13</v>
      </c>
    </row>
    <row r="29" spans="1:10" x14ac:dyDescent="0.25">
      <c r="A29" s="1" t="s">
        <v>16</v>
      </c>
      <c r="B29" s="1" t="s">
        <v>41</v>
      </c>
      <c r="C29" s="11"/>
      <c r="D29" s="11"/>
      <c r="E29" s="11">
        <v>240</v>
      </c>
      <c r="F29" s="11"/>
      <c r="G29" s="11">
        <f t="shared" si="0"/>
        <v>240</v>
      </c>
      <c r="H29" s="17">
        <f t="shared" si="1"/>
        <v>0.4</v>
      </c>
      <c r="I29" s="16">
        <f t="shared" si="2"/>
        <v>1E-3</v>
      </c>
      <c r="J29" s="16">
        <f>ROUND(G29/2210-1,2)</f>
        <v>-0.89</v>
      </c>
    </row>
    <row r="30" spans="1:10" x14ac:dyDescent="0.25">
      <c r="A30" s="1" t="s">
        <v>16</v>
      </c>
      <c r="B30" s="1" t="s">
        <v>42</v>
      </c>
      <c r="C30" s="11"/>
      <c r="D30" s="11"/>
      <c r="E30" s="11">
        <v>6250</v>
      </c>
      <c r="F30" s="11"/>
      <c r="G30" s="11">
        <f t="shared" si="0"/>
        <v>6250</v>
      </c>
      <c r="H30" s="17">
        <f t="shared" si="1"/>
        <v>10.42</v>
      </c>
      <c r="I30" s="16">
        <f t="shared" si="2"/>
        <v>0.03</v>
      </c>
      <c r="J30" s="16">
        <f>ROUND(G30/8070-1,2)</f>
        <v>-0.23</v>
      </c>
    </row>
    <row r="31" spans="1:10" x14ac:dyDescent="0.25">
      <c r="A31" s="1" t="s">
        <v>16</v>
      </c>
      <c r="B31" s="1" t="s">
        <v>36</v>
      </c>
      <c r="C31" s="11"/>
      <c r="D31" s="11"/>
      <c r="E31" s="11"/>
      <c r="F31" s="11"/>
      <c r="G31" s="11">
        <f t="shared" si="0"/>
        <v>0</v>
      </c>
      <c r="H31" s="17">
        <f t="shared" si="1"/>
        <v>0</v>
      </c>
      <c r="I31" s="16">
        <f t="shared" si="2"/>
        <v>0</v>
      </c>
      <c r="J31" s="16">
        <f>ROUND(G31/160-1,2)</f>
        <v>-1</v>
      </c>
    </row>
    <row r="32" spans="1:10" x14ac:dyDescent="0.25">
      <c r="A32" s="1" t="s">
        <v>16</v>
      </c>
      <c r="B32" s="1" t="s">
        <v>35</v>
      </c>
      <c r="C32" s="11"/>
      <c r="D32" s="11"/>
      <c r="E32" s="11"/>
      <c r="F32" s="11"/>
      <c r="G32" s="11">
        <f t="shared" si="0"/>
        <v>0</v>
      </c>
      <c r="H32" s="17">
        <f t="shared" si="1"/>
        <v>0</v>
      </c>
      <c r="I32" s="16">
        <f t="shared" si="2"/>
        <v>0</v>
      </c>
      <c r="J32" s="16">
        <f>ROUND(G32/550-1,2)</f>
        <v>-1</v>
      </c>
    </row>
    <row r="33" spans="1:10" x14ac:dyDescent="0.25">
      <c r="A33" s="1" t="s">
        <v>16</v>
      </c>
      <c r="B33" s="1" t="s">
        <v>195</v>
      </c>
      <c r="C33" s="11"/>
      <c r="D33" s="11"/>
      <c r="E33" s="11"/>
      <c r="F33" s="11"/>
      <c r="G33" s="11">
        <f t="shared" si="0"/>
        <v>0</v>
      </c>
      <c r="H33" s="17">
        <f t="shared" si="1"/>
        <v>0</v>
      </c>
      <c r="I33" s="16">
        <f t="shared" si="2"/>
        <v>0</v>
      </c>
      <c r="J33" s="16"/>
    </row>
    <row r="34" spans="1:10" x14ac:dyDescent="0.25">
      <c r="A34" s="1" t="s">
        <v>16</v>
      </c>
      <c r="B34" s="1" t="s">
        <v>96</v>
      </c>
      <c r="C34" s="11"/>
      <c r="D34" s="11"/>
      <c r="E34" s="11"/>
      <c r="F34" s="11"/>
      <c r="G34" s="11">
        <f t="shared" si="0"/>
        <v>0</v>
      </c>
      <c r="H34" s="17">
        <f t="shared" si="1"/>
        <v>0</v>
      </c>
      <c r="I34" s="16">
        <f t="shared" si="2"/>
        <v>0</v>
      </c>
      <c r="J34" s="16"/>
    </row>
    <row r="35" spans="1:10" x14ac:dyDescent="0.25">
      <c r="A35" s="1" t="s">
        <v>45</v>
      </c>
      <c r="B35" s="1" t="s">
        <v>46</v>
      </c>
      <c r="C35" s="11">
        <v>59480</v>
      </c>
      <c r="D35" s="11"/>
      <c r="E35" s="11"/>
      <c r="F35" s="11"/>
      <c r="G35" s="11">
        <f t="shared" si="0"/>
        <v>59480</v>
      </c>
      <c r="H35" s="17">
        <f t="shared" si="1"/>
        <v>99.13</v>
      </c>
      <c r="I35" s="16">
        <f t="shared" si="2"/>
        <v>0.28399999999999997</v>
      </c>
      <c r="J35" s="16">
        <f>ROUND(G35/53800-1,2)</f>
        <v>0.11</v>
      </c>
    </row>
    <row r="36" spans="1:10" x14ac:dyDescent="0.25">
      <c r="A36" s="1" t="s">
        <v>45</v>
      </c>
      <c r="B36" s="1" t="s">
        <v>47</v>
      </c>
      <c r="C36" s="11"/>
      <c r="D36" s="11"/>
      <c r="E36" s="11">
        <v>12300</v>
      </c>
      <c r="F36" s="11"/>
      <c r="G36" s="11">
        <f t="shared" si="0"/>
        <v>12300</v>
      </c>
      <c r="H36" s="17">
        <f t="shared" si="1"/>
        <v>20.5</v>
      </c>
      <c r="I36" s="16">
        <f t="shared" si="2"/>
        <v>5.8999999999999997E-2</v>
      </c>
      <c r="J36" s="16">
        <f>ROUND(G36/17240-1,2)</f>
        <v>-0.28999999999999998</v>
      </c>
    </row>
    <row r="37" spans="1:10" x14ac:dyDescent="0.25">
      <c r="A37" s="1" t="s">
        <v>49</v>
      </c>
      <c r="B37" s="1" t="s">
        <v>52</v>
      </c>
      <c r="C37" s="11"/>
      <c r="D37" s="11"/>
      <c r="E37" s="11"/>
      <c r="F37" s="11"/>
      <c r="G37" s="11">
        <f t="shared" si="0"/>
        <v>0</v>
      </c>
      <c r="H37" s="17">
        <f t="shared" si="1"/>
        <v>0</v>
      </c>
      <c r="I37" s="16">
        <f t="shared" si="2"/>
        <v>0</v>
      </c>
      <c r="J37" s="16"/>
    </row>
    <row r="38" spans="1:10" x14ac:dyDescent="0.25">
      <c r="A38" s="26" t="s">
        <v>12</v>
      </c>
      <c r="B38" s="26"/>
      <c r="C38" s="12">
        <f t="shared" ref="C38:H38" si="3">SUM(C8:C37)</f>
        <v>152985</v>
      </c>
      <c r="D38" s="12">
        <f t="shared" si="3"/>
        <v>25</v>
      </c>
      <c r="E38" s="12">
        <f t="shared" si="3"/>
        <v>56438</v>
      </c>
      <c r="F38" s="12">
        <f t="shared" si="3"/>
        <v>0</v>
      </c>
      <c r="G38" s="12">
        <f t="shared" si="3"/>
        <v>209448</v>
      </c>
      <c r="H38" s="15">
        <f t="shared" si="3"/>
        <v>349.09</v>
      </c>
      <c r="I38" s="18"/>
      <c r="J38" s="18"/>
    </row>
    <row r="39" spans="1:10" x14ac:dyDescent="0.25">
      <c r="A39" s="26" t="s">
        <v>14</v>
      </c>
      <c r="B39" s="26"/>
      <c r="C39" s="13">
        <f>ROUND(C38/G38,2)</f>
        <v>0.73</v>
      </c>
      <c r="D39" s="13">
        <f>ROUND(D38/G38,2)</f>
        <v>0</v>
      </c>
      <c r="E39" s="13">
        <f>ROUND(E38/G38,2)</f>
        <v>0.27</v>
      </c>
      <c r="F39" s="13">
        <f>ROUND(F38/G38,2)</f>
        <v>0</v>
      </c>
      <c r="G39" s="14"/>
      <c r="H39" s="14"/>
      <c r="I39" s="18"/>
      <c r="J39" s="18"/>
    </row>
    <row r="40" spans="1:10" x14ac:dyDescent="0.25">
      <c r="A40" s="2" t="s">
        <v>53</v>
      </c>
      <c r="B40" s="2"/>
      <c r="C40" s="14"/>
      <c r="D40" s="14"/>
      <c r="E40" s="14"/>
      <c r="F40" s="14"/>
      <c r="G40" s="14"/>
      <c r="H40" s="14"/>
      <c r="I40" s="18"/>
      <c r="J40" s="18"/>
    </row>
    <row r="41" spans="1:10" x14ac:dyDescent="0.25">
      <c r="C41" s="9"/>
      <c r="D41" s="9"/>
      <c r="E41" s="9"/>
      <c r="F41" s="9"/>
      <c r="G41" s="9"/>
      <c r="H41" s="9"/>
      <c r="I41" s="10"/>
      <c r="J41" s="10"/>
    </row>
    <row r="42" spans="1:10" x14ac:dyDescent="0.25">
      <c r="C42" s="9"/>
      <c r="D42" s="9"/>
      <c r="E42" s="9"/>
      <c r="F42" s="9"/>
      <c r="G42" s="9"/>
      <c r="H42" s="9"/>
      <c r="I42" s="10"/>
      <c r="J42" s="10"/>
    </row>
    <row r="43" spans="1:10" x14ac:dyDescent="0.25">
      <c r="C43" s="9"/>
      <c r="D43" s="9"/>
      <c r="E43" s="9"/>
      <c r="F43" s="9"/>
      <c r="G43" s="9"/>
      <c r="H43" s="9"/>
      <c r="I43" s="10"/>
      <c r="J43" s="10"/>
    </row>
    <row r="44" spans="1:10" x14ac:dyDescent="0.25">
      <c r="A44" s="26" t="s">
        <v>54</v>
      </c>
      <c r="B44" s="26"/>
      <c r="C44" s="12" t="s">
        <v>8</v>
      </c>
      <c r="D44" s="12" t="s">
        <v>9</v>
      </c>
      <c r="E44" s="12" t="s">
        <v>10</v>
      </c>
      <c r="F44" s="12" t="s">
        <v>11</v>
      </c>
      <c r="G44" s="12" t="s">
        <v>12</v>
      </c>
      <c r="H44" s="15" t="s">
        <v>13</v>
      </c>
      <c r="I44" s="18"/>
      <c r="J44" s="18"/>
    </row>
    <row r="45" spans="1:10" x14ac:dyDescent="0.25">
      <c r="A45" s="21" t="s">
        <v>55</v>
      </c>
      <c r="B45" s="21"/>
      <c r="C45" s="11">
        <v>93505</v>
      </c>
      <c r="D45" s="11">
        <v>25</v>
      </c>
      <c r="E45" s="11">
        <v>44138</v>
      </c>
      <c r="F45" s="11">
        <v>0</v>
      </c>
      <c r="G45" s="11">
        <f>SUM(C45:F45)</f>
        <v>137668</v>
      </c>
      <c r="H45" s="17">
        <f>ROUND(G45/600,2)</f>
        <v>229.45</v>
      </c>
      <c r="I45" s="10"/>
      <c r="J45" s="10"/>
    </row>
    <row r="46" spans="1:10" x14ac:dyDescent="0.25">
      <c r="A46" s="21" t="s">
        <v>56</v>
      </c>
      <c r="B46" s="21"/>
      <c r="C46" s="11">
        <v>59480</v>
      </c>
      <c r="D46" s="11">
        <v>0</v>
      </c>
      <c r="E46" s="11">
        <v>12300</v>
      </c>
      <c r="F46" s="11">
        <v>0</v>
      </c>
      <c r="G46" s="11">
        <f>SUM(C46:F46)</f>
        <v>71780</v>
      </c>
      <c r="H46" s="17">
        <f>ROUND(G46/600,2)</f>
        <v>119.63</v>
      </c>
      <c r="I46" s="10"/>
      <c r="J46" s="10"/>
    </row>
    <row r="47" spans="1:10" x14ac:dyDescent="0.25">
      <c r="A47" s="21" t="s">
        <v>57</v>
      </c>
      <c r="B47" s="21"/>
      <c r="C47" s="11">
        <v>0</v>
      </c>
      <c r="D47" s="11">
        <v>0</v>
      </c>
      <c r="E47" s="11">
        <v>0</v>
      </c>
      <c r="F47" s="11">
        <v>0</v>
      </c>
      <c r="G47" s="11">
        <f>SUM(C47:F47)</f>
        <v>0</v>
      </c>
      <c r="H47" s="17">
        <f>ROUND(G47/600,2)</f>
        <v>0</v>
      </c>
      <c r="I47" s="10"/>
      <c r="J47" s="10"/>
    </row>
    <row r="48" spans="1:10" x14ac:dyDescent="0.25">
      <c r="C48" s="9"/>
      <c r="D48" s="9"/>
      <c r="E48" s="9"/>
      <c r="F48" s="9"/>
      <c r="G48" s="9"/>
      <c r="H48" s="9"/>
      <c r="I48" s="10"/>
      <c r="J48" s="10"/>
    </row>
    <row r="49" spans="1:10" x14ac:dyDescent="0.25">
      <c r="C49" s="9"/>
      <c r="D49" s="9"/>
      <c r="E49" s="9"/>
      <c r="F49" s="9"/>
      <c r="G49" s="9"/>
      <c r="H49" s="9"/>
      <c r="I49" s="10"/>
      <c r="J49" s="10"/>
    </row>
    <row r="50" spans="1:10" x14ac:dyDescent="0.25">
      <c r="C50" s="9"/>
      <c r="D50" s="9"/>
      <c r="E50" s="9"/>
      <c r="F50" s="9"/>
      <c r="G50" s="9"/>
      <c r="H50" s="9"/>
      <c r="I50" s="10"/>
      <c r="J50" s="10"/>
    </row>
    <row r="51" spans="1:10" x14ac:dyDescent="0.25">
      <c r="C51" s="9"/>
      <c r="D51" s="9"/>
      <c r="E51" s="9"/>
      <c r="F51" s="9"/>
      <c r="G51" s="9"/>
      <c r="H51" s="9"/>
      <c r="I51" s="10"/>
      <c r="J51" s="10"/>
    </row>
    <row r="52" spans="1:10" x14ac:dyDescent="0.25">
      <c r="A52" s="26" t="s">
        <v>58</v>
      </c>
      <c r="B52" s="26"/>
      <c r="C52" s="15" t="s">
        <v>2</v>
      </c>
      <c r="D52" s="15">
        <v>2024</v>
      </c>
      <c r="E52" s="15" t="s">
        <v>60</v>
      </c>
      <c r="F52" s="14"/>
      <c r="G52" s="15" t="s">
        <v>61</v>
      </c>
      <c r="H52" s="15" t="s">
        <v>2</v>
      </c>
      <c r="I52" s="13" t="s">
        <v>62</v>
      </c>
      <c r="J52" s="13" t="s">
        <v>60</v>
      </c>
    </row>
    <row r="53" spans="1:10" x14ac:dyDescent="0.25">
      <c r="A53" s="21" t="s">
        <v>59</v>
      </c>
      <c r="B53" s="21"/>
      <c r="C53" s="16">
        <f>ROUND(0.7029, 4)</f>
        <v>0.70289999999999997</v>
      </c>
      <c r="D53" s="16">
        <f>ROUND(0.7396, 4)</f>
        <v>0.73960000000000004</v>
      </c>
      <c r="E53" s="16">
        <f>ROUND(0.7856, 4)</f>
        <v>0.78559999999999997</v>
      </c>
      <c r="F53" s="9"/>
      <c r="G53" s="15" t="s">
        <v>63</v>
      </c>
      <c r="H53" s="27" t="s">
        <v>64</v>
      </c>
      <c r="I53" s="24" t="s">
        <v>65</v>
      </c>
      <c r="J53" s="24" t="s">
        <v>66</v>
      </c>
    </row>
    <row r="54" spans="1:10" x14ac:dyDescent="0.25">
      <c r="A54" s="21" t="s">
        <v>67</v>
      </c>
      <c r="B54" s="21"/>
      <c r="C54" s="16">
        <f>ROUND(0.7029, 4)</f>
        <v>0.70289999999999997</v>
      </c>
      <c r="D54" s="16">
        <f>ROUND(0.7268, 4)</f>
        <v>0.7268</v>
      </c>
      <c r="E54" s="16">
        <f>ROUND(0.7702, 4)</f>
        <v>0.7702</v>
      </c>
      <c r="F54" s="9"/>
      <c r="G54" s="15" t="s">
        <v>68</v>
      </c>
      <c r="H54" s="28"/>
      <c r="I54" s="25"/>
      <c r="J54" s="25"/>
    </row>
    <row r="55" spans="1:10" x14ac:dyDescent="0.25">
      <c r="C55" s="9"/>
      <c r="D55" s="9"/>
      <c r="E55" s="9"/>
      <c r="F55" s="9"/>
      <c r="G55" s="9"/>
      <c r="H55" s="9"/>
      <c r="I55" s="10"/>
      <c r="J55" s="10"/>
    </row>
    <row r="56" spans="1:10" x14ac:dyDescent="0.25">
      <c r="C56" s="9"/>
      <c r="D56" s="9"/>
      <c r="E56" s="9"/>
      <c r="F56" s="9"/>
      <c r="G56" s="9"/>
      <c r="H56" s="9"/>
      <c r="I56" s="10"/>
      <c r="J56" s="10"/>
    </row>
    <row r="57" spans="1:10" x14ac:dyDescent="0.25">
      <c r="C57" s="9"/>
      <c r="D57" s="9"/>
      <c r="E57" s="9"/>
      <c r="F57" s="9"/>
      <c r="G57" s="9"/>
      <c r="H57" s="9"/>
      <c r="I57" s="10"/>
      <c r="J57" s="10"/>
    </row>
    <row r="58" spans="1:10" x14ac:dyDescent="0.25">
      <c r="A58" s="26" t="s">
        <v>69</v>
      </c>
      <c r="B58" s="26"/>
      <c r="C58" s="15" t="s">
        <v>2</v>
      </c>
      <c r="D58" s="15" t="s">
        <v>196</v>
      </c>
      <c r="E58" s="15" t="s">
        <v>71</v>
      </c>
      <c r="F58" s="15" t="s">
        <v>72</v>
      </c>
      <c r="G58" s="15" t="s">
        <v>73</v>
      </c>
      <c r="H58" s="14"/>
      <c r="I58" s="18"/>
      <c r="J58" s="18"/>
    </row>
    <row r="59" spans="1:10" x14ac:dyDescent="0.25">
      <c r="A59" s="21" t="s">
        <v>74</v>
      </c>
      <c r="B59" s="21"/>
      <c r="C59" s="17">
        <v>99.13</v>
      </c>
      <c r="D59" s="17">
        <v>93.3</v>
      </c>
      <c r="E59" s="17">
        <v>96.15</v>
      </c>
      <c r="F59" s="17">
        <v>57.94</v>
      </c>
      <c r="G59" s="17">
        <f>12/12*C59</f>
        <v>99.13</v>
      </c>
      <c r="H59" s="9"/>
      <c r="I59" s="10"/>
      <c r="J59" s="10"/>
    </row>
    <row r="60" spans="1:10" x14ac:dyDescent="0.25">
      <c r="A60" s="21" t="s">
        <v>75</v>
      </c>
      <c r="B60" s="21"/>
      <c r="C60" s="17">
        <v>42.73</v>
      </c>
      <c r="D60" s="17">
        <v>42.84</v>
      </c>
      <c r="E60" s="17">
        <v>62.28</v>
      </c>
      <c r="F60" s="17">
        <v>66.599999999999994</v>
      </c>
      <c r="G60" s="17">
        <f>12/12*C60</f>
        <v>42.73</v>
      </c>
      <c r="H60" s="9"/>
      <c r="I60" s="10"/>
      <c r="J60" s="10"/>
    </row>
    <row r="61" spans="1:10" x14ac:dyDescent="0.25">
      <c r="A61" s="21" t="s">
        <v>76</v>
      </c>
      <c r="B61" s="21"/>
      <c r="C61" s="17">
        <v>229.45</v>
      </c>
      <c r="D61" s="17">
        <v>258.64</v>
      </c>
      <c r="E61" s="17">
        <v>300.02</v>
      </c>
      <c r="F61" s="17">
        <v>295.08</v>
      </c>
      <c r="G61" s="17">
        <f>12/12*C61</f>
        <v>229.45</v>
      </c>
      <c r="H61" s="9"/>
      <c r="I61" s="10"/>
      <c r="J61" s="10"/>
    </row>
    <row r="62" spans="1:10" x14ac:dyDescent="0.25">
      <c r="A62" s="21" t="s">
        <v>77</v>
      </c>
      <c r="B62" s="21"/>
      <c r="C62" s="17">
        <v>119.63</v>
      </c>
      <c r="D62" s="17">
        <v>115.21</v>
      </c>
      <c r="E62" s="17">
        <v>120.96</v>
      </c>
      <c r="F62" s="17">
        <v>83.12</v>
      </c>
      <c r="G62" s="17">
        <f>12/12*C62</f>
        <v>119.63</v>
      </c>
      <c r="H62" s="9"/>
      <c r="I62" s="10"/>
      <c r="J62" s="10"/>
    </row>
    <row r="63" spans="1:10" x14ac:dyDescent="0.25">
      <c r="C63" s="9"/>
      <c r="D63" s="9"/>
      <c r="E63" s="9"/>
      <c r="F63" s="9"/>
      <c r="G63" s="9"/>
      <c r="H63" s="9"/>
      <c r="I63" s="10"/>
      <c r="J63" s="10"/>
    </row>
    <row r="64" spans="1:10" x14ac:dyDescent="0.25">
      <c r="C64" s="9"/>
      <c r="D64" s="9"/>
      <c r="E64" s="9"/>
      <c r="F64" s="9"/>
      <c r="G64" s="9"/>
      <c r="H64" s="9"/>
      <c r="I64" s="10"/>
      <c r="J64" s="10"/>
    </row>
    <row r="65" spans="1:10" x14ac:dyDescent="0.25">
      <c r="A65" s="22" t="s">
        <v>61</v>
      </c>
      <c r="B65" s="23"/>
      <c r="C65" s="9"/>
      <c r="D65" s="9"/>
      <c r="E65" s="9"/>
      <c r="F65" s="9"/>
      <c r="G65" s="9"/>
      <c r="H65" s="9"/>
      <c r="I65" s="10"/>
      <c r="J65" s="10"/>
    </row>
    <row r="66" spans="1:10" x14ac:dyDescent="0.25">
      <c r="A66" s="3" t="s">
        <v>78</v>
      </c>
      <c r="B66" s="1" t="s">
        <v>197</v>
      </c>
      <c r="C66" s="9"/>
      <c r="D66" s="9"/>
      <c r="E66" s="9"/>
      <c r="F66" s="9"/>
      <c r="G66" s="9"/>
      <c r="H66" s="9"/>
      <c r="I66" s="10"/>
      <c r="J66" s="10"/>
    </row>
    <row r="67" spans="1:10" x14ac:dyDescent="0.25">
      <c r="A67" s="3" t="s">
        <v>71</v>
      </c>
      <c r="B67" s="1" t="s">
        <v>80</v>
      </c>
      <c r="C67" s="9"/>
      <c r="D67" s="9"/>
      <c r="E67" s="9"/>
      <c r="F67" s="9"/>
      <c r="G67" s="9"/>
      <c r="H67" s="9"/>
      <c r="I67" s="10"/>
      <c r="J67" s="10"/>
    </row>
    <row r="68" spans="1:10" x14ac:dyDescent="0.25">
      <c r="A68" s="3" t="s">
        <v>72</v>
      </c>
      <c r="B68" s="1" t="s">
        <v>81</v>
      </c>
      <c r="C68" s="9"/>
      <c r="D68" s="9"/>
      <c r="E68" s="9"/>
      <c r="F68" s="9"/>
      <c r="G68" s="9"/>
      <c r="H68" s="9"/>
      <c r="I68" s="10"/>
      <c r="J68" s="10"/>
    </row>
    <row r="69" spans="1:10" x14ac:dyDescent="0.25">
      <c r="A69" s="3" t="s">
        <v>73</v>
      </c>
      <c r="B69" s="1" t="s">
        <v>82</v>
      </c>
      <c r="C69" s="9"/>
      <c r="D69" s="9"/>
      <c r="E69" s="9"/>
      <c r="F69" s="9"/>
      <c r="G69" s="9"/>
      <c r="H69" s="9"/>
      <c r="I69" s="10"/>
      <c r="J69" s="10"/>
    </row>
    <row r="70" spans="1:10" x14ac:dyDescent="0.25">
      <c r="C70" s="9"/>
      <c r="D70" s="9"/>
      <c r="E70" s="9"/>
      <c r="F70" s="9"/>
      <c r="G70" s="9"/>
      <c r="H70" s="9"/>
      <c r="I70" s="10"/>
      <c r="J70" s="10"/>
    </row>
    <row r="71" spans="1:10" x14ac:dyDescent="0.25">
      <c r="C71" s="9"/>
      <c r="D71" s="9"/>
      <c r="E71" s="9"/>
      <c r="F71" s="9"/>
      <c r="G71" s="9"/>
      <c r="H71" s="9"/>
      <c r="I71" s="10"/>
      <c r="J71" s="10"/>
    </row>
    <row r="72" spans="1:10" x14ac:dyDescent="0.25">
      <c r="C72" s="9"/>
      <c r="D72" s="9"/>
      <c r="E72" s="9"/>
      <c r="F72" s="9"/>
      <c r="G72" s="9"/>
      <c r="H72" s="9"/>
      <c r="I72" s="10"/>
      <c r="J72" s="10"/>
    </row>
  </sheetData>
  <mergeCells count="19">
    <mergeCell ref="C7:G7"/>
    <mergeCell ref="A38:B38"/>
    <mergeCell ref="A39:B39"/>
    <mergeCell ref="A44:B44"/>
    <mergeCell ref="A45:B45"/>
    <mergeCell ref="J53:J54"/>
    <mergeCell ref="A54:B54"/>
    <mergeCell ref="A58:B58"/>
    <mergeCell ref="A59:B59"/>
    <mergeCell ref="A46:B46"/>
    <mergeCell ref="A47:B47"/>
    <mergeCell ref="A52:B52"/>
    <mergeCell ref="A53:B53"/>
    <mergeCell ref="H53:H54"/>
    <mergeCell ref="A60:B60"/>
    <mergeCell ref="A61:B61"/>
    <mergeCell ref="A62:B62"/>
    <mergeCell ref="A65:B65"/>
    <mergeCell ref="I53:I54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J78"/>
  <sheetViews>
    <sheetView workbookViewId="0">
      <selection activeCell="H5" sqref="H5"/>
    </sheetView>
  </sheetViews>
  <sheetFormatPr defaultRowHeight="15" x14ac:dyDescent="0.25"/>
  <cols>
    <col min="1" max="1" width="28.42578125" bestFit="1" customWidth="1"/>
    <col min="2" max="2" width="112" bestFit="1" customWidth="1"/>
    <col min="3" max="3" width="12.7109375" bestFit="1" customWidth="1"/>
    <col min="4" max="4" width="34.85546875" bestFit="1" customWidth="1"/>
    <col min="5" max="5" width="13.85546875" bestFit="1" customWidth="1"/>
    <col min="6" max="6" width="8.5703125" bestFit="1" customWidth="1"/>
    <col min="7" max="7" width="47.7109375" bestFit="1" customWidth="1"/>
    <col min="8" max="9" width="16.7109375" bestFit="1" customWidth="1"/>
    <col min="10" max="10" width="24.42578125" bestFit="1" customWidth="1"/>
  </cols>
  <sheetData>
    <row r="2" spans="1:10" ht="18.75" x14ac:dyDescent="0.3">
      <c r="A2" s="3" t="s">
        <v>0</v>
      </c>
      <c r="B2" s="4" t="s">
        <v>198</v>
      </c>
    </row>
    <row r="3" spans="1:10" x14ac:dyDescent="0.25">
      <c r="A3" s="3" t="s">
        <v>2</v>
      </c>
      <c r="B3" s="1" t="s">
        <v>3</v>
      </c>
    </row>
    <row r="4" spans="1:10" x14ac:dyDescent="0.25">
      <c r="A4" s="3" t="s">
        <v>4</v>
      </c>
      <c r="B4" s="20">
        <v>2253</v>
      </c>
    </row>
    <row r="7" spans="1:10" x14ac:dyDescent="0.25">
      <c r="C7" s="22" t="s">
        <v>5</v>
      </c>
      <c r="D7" s="21"/>
      <c r="E7" s="21"/>
      <c r="F7" s="21"/>
      <c r="G7" s="21"/>
    </row>
    <row r="8" spans="1:10" x14ac:dyDescent="0.25">
      <c r="A8" s="3" t="s">
        <v>6</v>
      </c>
      <c r="B8" s="3" t="s">
        <v>7</v>
      </c>
      <c r="C8" s="15" t="s">
        <v>8</v>
      </c>
      <c r="D8" s="15" t="s">
        <v>9</v>
      </c>
      <c r="E8" s="15" t="s">
        <v>10</v>
      </c>
      <c r="F8" s="15" t="s">
        <v>11</v>
      </c>
      <c r="G8" s="15" t="s">
        <v>12</v>
      </c>
      <c r="H8" s="15" t="s">
        <v>13</v>
      </c>
      <c r="I8" s="15" t="s">
        <v>14</v>
      </c>
      <c r="J8" s="15" t="s">
        <v>15</v>
      </c>
    </row>
    <row r="9" spans="1:10" x14ac:dyDescent="0.25">
      <c r="A9" s="1" t="s">
        <v>16</v>
      </c>
      <c r="B9" s="1" t="s">
        <v>17</v>
      </c>
      <c r="C9" s="11"/>
      <c r="D9" s="11"/>
      <c r="E9" s="11">
        <v>56</v>
      </c>
      <c r="F9" s="11"/>
      <c r="G9" s="11">
        <f t="shared" ref="G9:G40" si="0">SUM(C9:F9)</f>
        <v>56</v>
      </c>
      <c r="H9" s="17">
        <f t="shared" ref="H9:H40" si="1">ROUND(G9/2253,2)</f>
        <v>0.02</v>
      </c>
      <c r="I9" s="16">
        <f t="shared" ref="I9:I40" si="2">ROUND(G9/$G$41,3)</f>
        <v>0</v>
      </c>
      <c r="J9" s="16">
        <f>ROUND(G9/71-1,2)</f>
        <v>-0.21</v>
      </c>
    </row>
    <row r="10" spans="1:10" x14ac:dyDescent="0.25">
      <c r="A10" s="1" t="s">
        <v>16</v>
      </c>
      <c r="B10" s="1" t="s">
        <v>19</v>
      </c>
      <c r="C10" s="11">
        <v>62050</v>
      </c>
      <c r="D10" s="11"/>
      <c r="E10" s="11">
        <v>2770</v>
      </c>
      <c r="F10" s="11"/>
      <c r="G10" s="11">
        <f t="shared" si="0"/>
        <v>64820</v>
      </c>
      <c r="H10" s="17">
        <f t="shared" si="1"/>
        <v>28.77</v>
      </c>
      <c r="I10" s="16">
        <f t="shared" si="2"/>
        <v>4.3999999999999997E-2</v>
      </c>
      <c r="J10" s="16">
        <f>ROUND(G10/66195-1,2)</f>
        <v>-0.02</v>
      </c>
    </row>
    <row r="11" spans="1:10" x14ac:dyDescent="0.25">
      <c r="A11" s="1" t="s">
        <v>16</v>
      </c>
      <c r="B11" s="1" t="s">
        <v>20</v>
      </c>
      <c r="C11" s="11">
        <v>32590</v>
      </c>
      <c r="D11" s="11">
        <v>47470</v>
      </c>
      <c r="E11" s="11"/>
      <c r="F11" s="11"/>
      <c r="G11" s="11">
        <f t="shared" si="0"/>
        <v>80060</v>
      </c>
      <c r="H11" s="17">
        <f t="shared" si="1"/>
        <v>35.53</v>
      </c>
      <c r="I11" s="16">
        <f t="shared" si="2"/>
        <v>5.3999999999999999E-2</v>
      </c>
      <c r="J11" s="16">
        <f>ROUND(G11/82770-1,2)</f>
        <v>-0.03</v>
      </c>
    </row>
    <row r="12" spans="1:10" x14ac:dyDescent="0.25">
      <c r="A12" s="1" t="s">
        <v>16</v>
      </c>
      <c r="B12" s="1" t="s">
        <v>87</v>
      </c>
      <c r="C12" s="11"/>
      <c r="D12" s="11"/>
      <c r="E12" s="11">
        <v>206</v>
      </c>
      <c r="F12" s="11"/>
      <c r="G12" s="11">
        <f t="shared" si="0"/>
        <v>206</v>
      </c>
      <c r="H12" s="17">
        <f t="shared" si="1"/>
        <v>0.09</v>
      </c>
      <c r="I12" s="16">
        <f t="shared" si="2"/>
        <v>0</v>
      </c>
      <c r="J12" s="16">
        <f>ROUND(G12/295-1,2)</f>
        <v>-0.3</v>
      </c>
    </row>
    <row r="13" spans="1:10" x14ac:dyDescent="0.25">
      <c r="A13" s="1" t="s">
        <v>16</v>
      </c>
      <c r="B13" s="1" t="s">
        <v>21</v>
      </c>
      <c r="C13" s="11"/>
      <c r="D13" s="11"/>
      <c r="E13" s="11">
        <v>267</v>
      </c>
      <c r="F13" s="11"/>
      <c r="G13" s="11">
        <f t="shared" si="0"/>
        <v>267</v>
      </c>
      <c r="H13" s="17">
        <f t="shared" si="1"/>
        <v>0.12</v>
      </c>
      <c r="I13" s="16">
        <f t="shared" si="2"/>
        <v>0</v>
      </c>
      <c r="J13" s="16">
        <f>ROUND(G13/70-1,2)</f>
        <v>2.81</v>
      </c>
    </row>
    <row r="14" spans="1:10" x14ac:dyDescent="0.25">
      <c r="A14" s="1" t="s">
        <v>16</v>
      </c>
      <c r="B14" s="1" t="s">
        <v>22</v>
      </c>
      <c r="C14" s="11"/>
      <c r="D14" s="11"/>
      <c r="E14" s="11">
        <v>1200</v>
      </c>
      <c r="F14" s="11"/>
      <c r="G14" s="11">
        <f t="shared" si="0"/>
        <v>1200</v>
      </c>
      <c r="H14" s="17">
        <f t="shared" si="1"/>
        <v>0.53</v>
      </c>
      <c r="I14" s="16">
        <f t="shared" si="2"/>
        <v>1E-3</v>
      </c>
      <c r="J14" s="16">
        <f>ROUND(G14/1300-1,2)</f>
        <v>-0.08</v>
      </c>
    </row>
    <row r="15" spans="1:10" x14ac:dyDescent="0.25">
      <c r="A15" s="1" t="s">
        <v>16</v>
      </c>
      <c r="B15" s="1" t="s">
        <v>23</v>
      </c>
      <c r="C15" s="11"/>
      <c r="D15" s="11"/>
      <c r="E15" s="11">
        <v>67530</v>
      </c>
      <c r="F15" s="11"/>
      <c r="G15" s="11">
        <f t="shared" si="0"/>
        <v>67530</v>
      </c>
      <c r="H15" s="17">
        <f t="shared" si="1"/>
        <v>29.97</v>
      </c>
      <c r="I15" s="16">
        <f t="shared" si="2"/>
        <v>4.5999999999999999E-2</v>
      </c>
      <c r="J15" s="16">
        <f>ROUND(G15/41020-1,2)</f>
        <v>0.65</v>
      </c>
    </row>
    <row r="16" spans="1:10" x14ac:dyDescent="0.25">
      <c r="A16" s="1" t="s">
        <v>16</v>
      </c>
      <c r="B16" s="1" t="s">
        <v>24</v>
      </c>
      <c r="C16" s="11">
        <v>97320</v>
      </c>
      <c r="D16" s="11"/>
      <c r="E16" s="11">
        <v>17220</v>
      </c>
      <c r="F16" s="11"/>
      <c r="G16" s="11">
        <f t="shared" si="0"/>
        <v>114540</v>
      </c>
      <c r="H16" s="17">
        <f t="shared" si="1"/>
        <v>50.84</v>
      </c>
      <c r="I16" s="16">
        <f t="shared" si="2"/>
        <v>7.6999999999999999E-2</v>
      </c>
      <c r="J16" s="16">
        <f>ROUND(G16/110435-1,2)</f>
        <v>0.04</v>
      </c>
    </row>
    <row r="17" spans="1:10" x14ac:dyDescent="0.25">
      <c r="A17" s="1" t="s">
        <v>16</v>
      </c>
      <c r="B17" s="1" t="s">
        <v>25</v>
      </c>
      <c r="C17" s="11"/>
      <c r="D17" s="11"/>
      <c r="E17" s="11">
        <v>7070</v>
      </c>
      <c r="F17" s="11"/>
      <c r="G17" s="11">
        <f t="shared" si="0"/>
        <v>7070</v>
      </c>
      <c r="H17" s="17">
        <f t="shared" si="1"/>
        <v>3.14</v>
      </c>
      <c r="I17" s="16">
        <f t="shared" si="2"/>
        <v>5.0000000000000001E-3</v>
      </c>
      <c r="J17" s="16">
        <f>ROUND(G17/3205-1,2)</f>
        <v>1.21</v>
      </c>
    </row>
    <row r="18" spans="1:10" x14ac:dyDescent="0.25">
      <c r="A18" s="1" t="s">
        <v>16</v>
      </c>
      <c r="B18" s="1" t="s">
        <v>26</v>
      </c>
      <c r="C18" s="11"/>
      <c r="D18" s="11">
        <v>46120</v>
      </c>
      <c r="E18" s="11"/>
      <c r="F18" s="11">
        <v>830</v>
      </c>
      <c r="G18" s="11">
        <f t="shared" si="0"/>
        <v>46950</v>
      </c>
      <c r="H18" s="17">
        <f t="shared" si="1"/>
        <v>20.84</v>
      </c>
      <c r="I18" s="16">
        <f t="shared" si="2"/>
        <v>3.2000000000000001E-2</v>
      </c>
      <c r="J18" s="16">
        <f>ROUND(G18/30890-1,2)</f>
        <v>0.52</v>
      </c>
    </row>
    <row r="19" spans="1:10" x14ac:dyDescent="0.25">
      <c r="A19" s="1" t="s">
        <v>16</v>
      </c>
      <c r="B19" s="1" t="s">
        <v>27</v>
      </c>
      <c r="C19" s="11"/>
      <c r="D19" s="11"/>
      <c r="E19" s="11">
        <v>836</v>
      </c>
      <c r="F19" s="11"/>
      <c r="G19" s="11">
        <f t="shared" si="0"/>
        <v>836</v>
      </c>
      <c r="H19" s="17">
        <f t="shared" si="1"/>
        <v>0.37</v>
      </c>
      <c r="I19" s="16">
        <f t="shared" si="2"/>
        <v>1E-3</v>
      </c>
      <c r="J19" s="16">
        <f>ROUND(G19/467-1,2)</f>
        <v>0.79</v>
      </c>
    </row>
    <row r="20" spans="1:10" x14ac:dyDescent="0.25">
      <c r="A20" s="1" t="s">
        <v>16</v>
      </c>
      <c r="B20" s="1" t="s">
        <v>28</v>
      </c>
      <c r="C20" s="11"/>
      <c r="D20" s="11"/>
      <c r="E20" s="11">
        <v>672</v>
      </c>
      <c r="F20" s="11"/>
      <c r="G20" s="11">
        <f t="shared" si="0"/>
        <v>672</v>
      </c>
      <c r="H20" s="17">
        <f t="shared" si="1"/>
        <v>0.3</v>
      </c>
      <c r="I20" s="16">
        <f t="shared" si="2"/>
        <v>0</v>
      </c>
      <c r="J20" s="16">
        <f>ROUND(G20/311-1,2)</f>
        <v>1.1599999999999999</v>
      </c>
    </row>
    <row r="21" spans="1:10" x14ac:dyDescent="0.25">
      <c r="A21" s="1" t="s">
        <v>16</v>
      </c>
      <c r="B21" s="1" t="s">
        <v>29</v>
      </c>
      <c r="C21" s="11"/>
      <c r="D21" s="11"/>
      <c r="E21" s="11">
        <v>290</v>
      </c>
      <c r="F21" s="11"/>
      <c r="G21" s="11">
        <f t="shared" si="0"/>
        <v>290</v>
      </c>
      <c r="H21" s="17">
        <f t="shared" si="1"/>
        <v>0.13</v>
      </c>
      <c r="I21" s="16">
        <f t="shared" si="2"/>
        <v>0</v>
      </c>
      <c r="J21" s="16">
        <f>ROUND(G21/557-1,2)</f>
        <v>-0.48</v>
      </c>
    </row>
    <row r="22" spans="1:10" x14ac:dyDescent="0.25">
      <c r="A22" s="1" t="s">
        <v>16</v>
      </c>
      <c r="B22" s="1" t="s">
        <v>30</v>
      </c>
      <c r="C22" s="11"/>
      <c r="D22" s="11"/>
      <c r="E22" s="11">
        <v>16080</v>
      </c>
      <c r="F22" s="11"/>
      <c r="G22" s="11">
        <f t="shared" si="0"/>
        <v>16080</v>
      </c>
      <c r="H22" s="17">
        <f t="shared" si="1"/>
        <v>7.14</v>
      </c>
      <c r="I22" s="16">
        <f t="shared" si="2"/>
        <v>1.0999999999999999E-2</v>
      </c>
      <c r="J22" s="16">
        <f>ROUND(G22/19710-1,2)</f>
        <v>-0.18</v>
      </c>
    </row>
    <row r="23" spans="1:10" x14ac:dyDescent="0.25">
      <c r="A23" s="1" t="s">
        <v>16</v>
      </c>
      <c r="B23" s="1" t="s">
        <v>31</v>
      </c>
      <c r="C23" s="11"/>
      <c r="D23" s="11"/>
      <c r="E23" s="11">
        <v>1220</v>
      </c>
      <c r="F23" s="11"/>
      <c r="G23" s="11">
        <f t="shared" si="0"/>
        <v>1220</v>
      </c>
      <c r="H23" s="17">
        <f t="shared" si="1"/>
        <v>0.54</v>
      </c>
      <c r="I23" s="16">
        <f t="shared" si="2"/>
        <v>1E-3</v>
      </c>
      <c r="J23" s="16">
        <f>ROUND(G23/400-1,2)</f>
        <v>2.0499999999999998</v>
      </c>
    </row>
    <row r="24" spans="1:10" x14ac:dyDescent="0.25">
      <c r="A24" s="1" t="s">
        <v>16</v>
      </c>
      <c r="B24" s="1" t="s">
        <v>32</v>
      </c>
      <c r="C24" s="11"/>
      <c r="D24" s="11"/>
      <c r="E24" s="11">
        <v>980</v>
      </c>
      <c r="F24" s="11"/>
      <c r="G24" s="11">
        <f t="shared" si="0"/>
        <v>980</v>
      </c>
      <c r="H24" s="17">
        <f t="shared" si="1"/>
        <v>0.43</v>
      </c>
      <c r="I24" s="16">
        <f t="shared" si="2"/>
        <v>1E-3</v>
      </c>
      <c r="J24" s="16">
        <f>ROUND(G24/560-1,2)</f>
        <v>0.75</v>
      </c>
    </row>
    <row r="25" spans="1:10" x14ac:dyDescent="0.25">
      <c r="A25" s="1" t="s">
        <v>16</v>
      </c>
      <c r="B25" s="1" t="s">
        <v>33</v>
      </c>
      <c r="C25" s="11"/>
      <c r="D25" s="11"/>
      <c r="E25" s="11">
        <v>3422</v>
      </c>
      <c r="F25" s="11"/>
      <c r="G25" s="11">
        <f t="shared" si="0"/>
        <v>3422</v>
      </c>
      <c r="H25" s="17">
        <f t="shared" si="1"/>
        <v>1.52</v>
      </c>
      <c r="I25" s="16">
        <f t="shared" si="2"/>
        <v>2E-3</v>
      </c>
      <c r="J25" s="16">
        <f>ROUND(G25/2175-1,2)</f>
        <v>0.56999999999999995</v>
      </c>
    </row>
    <row r="26" spans="1:10" x14ac:dyDescent="0.25">
      <c r="A26" s="1" t="s">
        <v>16</v>
      </c>
      <c r="B26" s="1" t="s">
        <v>34</v>
      </c>
      <c r="C26" s="11"/>
      <c r="D26" s="11">
        <v>55</v>
      </c>
      <c r="E26" s="11">
        <v>267</v>
      </c>
      <c r="F26" s="11"/>
      <c r="G26" s="11">
        <f t="shared" si="0"/>
        <v>322</v>
      </c>
      <c r="H26" s="17">
        <f t="shared" si="1"/>
        <v>0.14000000000000001</v>
      </c>
      <c r="I26" s="16">
        <f t="shared" si="2"/>
        <v>0</v>
      </c>
      <c r="J26" s="16">
        <f>ROUND(G26/240-1,2)</f>
        <v>0.34</v>
      </c>
    </row>
    <row r="27" spans="1:10" x14ac:dyDescent="0.25">
      <c r="A27" s="1" t="s">
        <v>16</v>
      </c>
      <c r="B27" s="1" t="s">
        <v>35</v>
      </c>
      <c r="C27" s="11"/>
      <c r="D27" s="11"/>
      <c r="E27" s="11">
        <v>1362</v>
      </c>
      <c r="F27" s="11"/>
      <c r="G27" s="11">
        <f t="shared" si="0"/>
        <v>1362</v>
      </c>
      <c r="H27" s="17">
        <f t="shared" si="1"/>
        <v>0.6</v>
      </c>
      <c r="I27" s="16">
        <f t="shared" si="2"/>
        <v>1E-3</v>
      </c>
      <c r="J27" s="16">
        <f>ROUND(G27/1430-1,2)</f>
        <v>-0.05</v>
      </c>
    </row>
    <row r="28" spans="1:10" x14ac:dyDescent="0.25">
      <c r="A28" s="1" t="s">
        <v>16</v>
      </c>
      <c r="B28" s="1" t="s">
        <v>37</v>
      </c>
      <c r="C28" s="11"/>
      <c r="D28" s="11"/>
      <c r="E28" s="11">
        <v>7880</v>
      </c>
      <c r="F28" s="11"/>
      <c r="G28" s="11">
        <f t="shared" si="0"/>
        <v>7880</v>
      </c>
      <c r="H28" s="17">
        <f t="shared" si="1"/>
        <v>3.5</v>
      </c>
      <c r="I28" s="16">
        <f t="shared" si="2"/>
        <v>5.0000000000000001E-3</v>
      </c>
      <c r="J28" s="16">
        <f>ROUND(G28/8700-1,2)</f>
        <v>-0.09</v>
      </c>
    </row>
    <row r="29" spans="1:10" x14ac:dyDescent="0.25">
      <c r="A29" s="1" t="s">
        <v>16</v>
      </c>
      <c r="B29" s="1" t="s">
        <v>39</v>
      </c>
      <c r="C29" s="11"/>
      <c r="D29" s="11"/>
      <c r="E29" s="11">
        <v>32350</v>
      </c>
      <c r="F29" s="11"/>
      <c r="G29" s="11">
        <f t="shared" si="0"/>
        <v>32350</v>
      </c>
      <c r="H29" s="17">
        <f t="shared" si="1"/>
        <v>14.36</v>
      </c>
      <c r="I29" s="16">
        <f t="shared" si="2"/>
        <v>2.1999999999999999E-2</v>
      </c>
      <c r="J29" s="16">
        <f>ROUND(G29/22890-1,2)</f>
        <v>0.41</v>
      </c>
    </row>
    <row r="30" spans="1:10" x14ac:dyDescent="0.25">
      <c r="A30" s="1" t="s">
        <v>16</v>
      </c>
      <c r="B30" s="1" t="s">
        <v>38</v>
      </c>
      <c r="C30" s="11"/>
      <c r="D30" s="11"/>
      <c r="E30" s="11">
        <v>22450</v>
      </c>
      <c r="F30" s="11"/>
      <c r="G30" s="11">
        <f t="shared" si="0"/>
        <v>22450</v>
      </c>
      <c r="H30" s="17">
        <f t="shared" si="1"/>
        <v>9.9600000000000009</v>
      </c>
      <c r="I30" s="16">
        <f t="shared" si="2"/>
        <v>1.4999999999999999E-2</v>
      </c>
      <c r="J30" s="16">
        <f>ROUND(G30/31700-1,2)</f>
        <v>-0.28999999999999998</v>
      </c>
    </row>
    <row r="31" spans="1:10" x14ac:dyDescent="0.25">
      <c r="A31" s="1" t="s">
        <v>16</v>
      </c>
      <c r="B31" s="1" t="s">
        <v>40</v>
      </c>
      <c r="C31" s="11"/>
      <c r="D31" s="11"/>
      <c r="E31" s="11">
        <v>134800</v>
      </c>
      <c r="F31" s="11"/>
      <c r="G31" s="11">
        <f t="shared" si="0"/>
        <v>134800</v>
      </c>
      <c r="H31" s="17">
        <f t="shared" si="1"/>
        <v>59.83</v>
      </c>
      <c r="I31" s="16">
        <f t="shared" si="2"/>
        <v>9.0999999999999998E-2</v>
      </c>
      <c r="J31" s="16">
        <f>ROUND(G31/64130-1,2)</f>
        <v>1.1000000000000001</v>
      </c>
    </row>
    <row r="32" spans="1:10" x14ac:dyDescent="0.25">
      <c r="A32" s="1" t="s">
        <v>16</v>
      </c>
      <c r="B32" s="1" t="s">
        <v>41</v>
      </c>
      <c r="C32" s="11"/>
      <c r="D32" s="11"/>
      <c r="E32" s="11">
        <v>7750</v>
      </c>
      <c r="F32" s="11"/>
      <c r="G32" s="11">
        <f t="shared" si="0"/>
        <v>7750</v>
      </c>
      <c r="H32" s="17">
        <f t="shared" si="1"/>
        <v>3.44</v>
      </c>
      <c r="I32" s="16">
        <f t="shared" si="2"/>
        <v>5.0000000000000001E-3</v>
      </c>
      <c r="J32" s="16">
        <f>ROUND(G32/8690-1,2)</f>
        <v>-0.11</v>
      </c>
    </row>
    <row r="33" spans="1:10" x14ac:dyDescent="0.25">
      <c r="A33" s="1" t="s">
        <v>16</v>
      </c>
      <c r="B33" s="1" t="s">
        <v>42</v>
      </c>
      <c r="C33" s="11"/>
      <c r="D33" s="11"/>
      <c r="E33" s="11">
        <v>27220</v>
      </c>
      <c r="F33" s="11"/>
      <c r="G33" s="11">
        <f t="shared" si="0"/>
        <v>27220</v>
      </c>
      <c r="H33" s="17">
        <f t="shared" si="1"/>
        <v>12.08</v>
      </c>
      <c r="I33" s="16">
        <f t="shared" si="2"/>
        <v>1.7999999999999999E-2</v>
      </c>
      <c r="J33" s="16">
        <f>ROUND(G33/20440-1,2)</f>
        <v>0.33</v>
      </c>
    </row>
    <row r="34" spans="1:10" x14ac:dyDescent="0.25">
      <c r="A34" s="1" t="s">
        <v>16</v>
      </c>
      <c r="B34" s="1" t="s">
        <v>44</v>
      </c>
      <c r="C34" s="11"/>
      <c r="D34" s="11"/>
      <c r="E34" s="11">
        <v>332535</v>
      </c>
      <c r="F34" s="11"/>
      <c r="G34" s="11">
        <f t="shared" si="0"/>
        <v>332535</v>
      </c>
      <c r="H34" s="17">
        <f t="shared" si="1"/>
        <v>147.6</v>
      </c>
      <c r="I34" s="16">
        <f t="shared" si="2"/>
        <v>0.224</v>
      </c>
      <c r="J34" s="16">
        <f>ROUND(G34/223690-1,2)</f>
        <v>0.49</v>
      </c>
    </row>
    <row r="35" spans="1:10" x14ac:dyDescent="0.25">
      <c r="A35" s="1" t="s">
        <v>16</v>
      </c>
      <c r="B35" s="1" t="s">
        <v>36</v>
      </c>
      <c r="C35" s="11"/>
      <c r="D35" s="11"/>
      <c r="E35" s="11"/>
      <c r="F35" s="11"/>
      <c r="G35" s="11">
        <f t="shared" si="0"/>
        <v>0</v>
      </c>
      <c r="H35" s="17">
        <f t="shared" si="1"/>
        <v>0</v>
      </c>
      <c r="I35" s="16">
        <f t="shared" si="2"/>
        <v>0</v>
      </c>
      <c r="J35" s="16"/>
    </row>
    <row r="36" spans="1:10" x14ac:dyDescent="0.25">
      <c r="A36" s="1" t="s">
        <v>16</v>
      </c>
      <c r="B36" s="1" t="s">
        <v>199</v>
      </c>
      <c r="C36" s="11"/>
      <c r="D36" s="11"/>
      <c r="E36" s="11"/>
      <c r="F36" s="11"/>
      <c r="G36" s="11">
        <f t="shared" si="0"/>
        <v>0</v>
      </c>
      <c r="H36" s="17">
        <f t="shared" si="1"/>
        <v>0</v>
      </c>
      <c r="I36" s="16">
        <f t="shared" si="2"/>
        <v>0</v>
      </c>
      <c r="J36" s="16"/>
    </row>
    <row r="37" spans="1:10" x14ac:dyDescent="0.25">
      <c r="A37" s="1" t="s">
        <v>45</v>
      </c>
      <c r="B37" s="1" t="s">
        <v>46</v>
      </c>
      <c r="C37" s="11">
        <v>80980</v>
      </c>
      <c r="D37" s="11">
        <v>357490</v>
      </c>
      <c r="E37" s="11"/>
      <c r="F37" s="11"/>
      <c r="G37" s="11">
        <f t="shared" si="0"/>
        <v>438470</v>
      </c>
      <c r="H37" s="17">
        <f t="shared" si="1"/>
        <v>194.62</v>
      </c>
      <c r="I37" s="16">
        <f t="shared" si="2"/>
        <v>0.29599999999999999</v>
      </c>
      <c r="J37" s="16">
        <f>ROUND(G37/430695-1,2)</f>
        <v>0.02</v>
      </c>
    </row>
    <row r="38" spans="1:10" x14ac:dyDescent="0.25">
      <c r="A38" s="1" t="s">
        <v>45</v>
      </c>
      <c r="B38" s="1" t="s">
        <v>48</v>
      </c>
      <c r="C38" s="11"/>
      <c r="D38" s="11"/>
      <c r="E38" s="11"/>
      <c r="F38" s="11">
        <v>7110</v>
      </c>
      <c r="G38" s="11">
        <f t="shared" si="0"/>
        <v>7110</v>
      </c>
      <c r="H38" s="17">
        <f t="shared" si="1"/>
        <v>3.16</v>
      </c>
      <c r="I38" s="16">
        <f t="shared" si="2"/>
        <v>5.0000000000000001E-3</v>
      </c>
      <c r="J38" s="16"/>
    </row>
    <row r="39" spans="1:10" x14ac:dyDescent="0.25">
      <c r="A39" s="1" t="s">
        <v>45</v>
      </c>
      <c r="B39" s="1" t="s">
        <v>47</v>
      </c>
      <c r="C39" s="11"/>
      <c r="D39" s="11"/>
      <c r="E39" s="11">
        <v>65130</v>
      </c>
      <c r="F39" s="11"/>
      <c r="G39" s="11">
        <f t="shared" si="0"/>
        <v>65130</v>
      </c>
      <c r="H39" s="17">
        <f t="shared" si="1"/>
        <v>28.91</v>
      </c>
      <c r="I39" s="16">
        <f t="shared" si="2"/>
        <v>4.3999999999999997E-2</v>
      </c>
      <c r="J39" s="16">
        <f>ROUND(G39/41310-1,2)</f>
        <v>0.57999999999999996</v>
      </c>
    </row>
    <row r="40" spans="1:10" x14ac:dyDescent="0.25">
      <c r="A40" s="1" t="s">
        <v>49</v>
      </c>
      <c r="B40" s="1" t="s">
        <v>52</v>
      </c>
      <c r="C40" s="11"/>
      <c r="D40" s="11"/>
      <c r="E40" s="11"/>
      <c r="F40" s="11"/>
      <c r="G40" s="11">
        <f t="shared" si="0"/>
        <v>0</v>
      </c>
      <c r="H40" s="17">
        <f t="shared" si="1"/>
        <v>0</v>
      </c>
      <c r="I40" s="16">
        <f t="shared" si="2"/>
        <v>0</v>
      </c>
      <c r="J40" s="16"/>
    </row>
    <row r="41" spans="1:10" x14ac:dyDescent="0.25">
      <c r="A41" s="26" t="s">
        <v>12</v>
      </c>
      <c r="B41" s="26"/>
      <c r="C41" s="12">
        <f t="shared" ref="C41:H41" si="3">SUM(C8:C40)</f>
        <v>272940</v>
      </c>
      <c r="D41" s="12">
        <f t="shared" si="3"/>
        <v>451135</v>
      </c>
      <c r="E41" s="12">
        <f t="shared" si="3"/>
        <v>751563</v>
      </c>
      <c r="F41" s="12">
        <f t="shared" si="3"/>
        <v>7940</v>
      </c>
      <c r="G41" s="12">
        <f t="shared" si="3"/>
        <v>1483578</v>
      </c>
      <c r="H41" s="15">
        <f t="shared" si="3"/>
        <v>658.4799999999999</v>
      </c>
      <c r="I41" s="18"/>
      <c r="J41" s="18"/>
    </row>
    <row r="42" spans="1:10" x14ac:dyDescent="0.25">
      <c r="A42" s="26" t="s">
        <v>14</v>
      </c>
      <c r="B42" s="26"/>
      <c r="C42" s="13">
        <f>ROUND(C41/G41,2)</f>
        <v>0.18</v>
      </c>
      <c r="D42" s="13">
        <f>ROUND(D41/G41,2)</f>
        <v>0.3</v>
      </c>
      <c r="E42" s="13">
        <f>ROUND(E41/G41,2)</f>
        <v>0.51</v>
      </c>
      <c r="F42" s="13">
        <f>ROUND(F41/G41,2)</f>
        <v>0.01</v>
      </c>
      <c r="G42" s="14"/>
      <c r="H42" s="14"/>
      <c r="I42" s="18"/>
      <c r="J42" s="18"/>
    </row>
    <row r="43" spans="1:10" x14ac:dyDescent="0.25">
      <c r="A43" s="2" t="s">
        <v>53</v>
      </c>
      <c r="B43" s="2"/>
      <c r="C43" s="14"/>
      <c r="D43" s="14"/>
      <c r="E43" s="14"/>
      <c r="F43" s="14"/>
      <c r="G43" s="14"/>
      <c r="H43" s="14"/>
      <c r="I43" s="18"/>
      <c r="J43" s="18"/>
    </row>
    <row r="44" spans="1:10" x14ac:dyDescent="0.25">
      <c r="C44" s="9"/>
      <c r="D44" s="9"/>
      <c r="E44" s="9"/>
      <c r="F44" s="9"/>
      <c r="G44" s="9"/>
      <c r="H44" s="9"/>
      <c r="I44" s="10"/>
      <c r="J44" s="10"/>
    </row>
    <row r="45" spans="1:10" x14ac:dyDescent="0.25">
      <c r="C45" s="9"/>
      <c r="D45" s="9"/>
      <c r="E45" s="9"/>
      <c r="F45" s="9"/>
      <c r="G45" s="9"/>
      <c r="H45" s="9"/>
      <c r="I45" s="10"/>
      <c r="J45" s="10"/>
    </row>
    <row r="46" spans="1:10" x14ac:dyDescent="0.25">
      <c r="C46" s="9"/>
      <c r="D46" s="9"/>
      <c r="E46" s="9"/>
      <c r="F46" s="9"/>
      <c r="G46" s="9"/>
      <c r="H46" s="9"/>
      <c r="I46" s="10"/>
      <c r="J46" s="10"/>
    </row>
    <row r="47" spans="1:10" x14ac:dyDescent="0.25">
      <c r="A47" s="26" t="s">
        <v>54</v>
      </c>
      <c r="B47" s="26"/>
      <c r="C47" s="12" t="s">
        <v>8</v>
      </c>
      <c r="D47" s="12" t="s">
        <v>9</v>
      </c>
      <c r="E47" s="12" t="s">
        <v>10</v>
      </c>
      <c r="F47" s="12" t="s">
        <v>11</v>
      </c>
      <c r="G47" s="12" t="s">
        <v>12</v>
      </c>
      <c r="H47" s="15" t="s">
        <v>13</v>
      </c>
      <c r="I47" s="18"/>
      <c r="J47" s="18"/>
    </row>
    <row r="48" spans="1:10" x14ac:dyDescent="0.25">
      <c r="A48" s="21" t="s">
        <v>55</v>
      </c>
      <c r="B48" s="21"/>
      <c r="C48" s="11">
        <v>191960</v>
      </c>
      <c r="D48" s="11">
        <v>93645</v>
      </c>
      <c r="E48" s="11">
        <v>686433</v>
      </c>
      <c r="F48" s="11">
        <v>830</v>
      </c>
      <c r="G48" s="11">
        <f>SUM(C48:F48)</f>
        <v>972868</v>
      </c>
      <c r="H48" s="17">
        <f>ROUND(G48/2253,2)</f>
        <v>431.81</v>
      </c>
      <c r="I48" s="10"/>
      <c r="J48" s="10"/>
    </row>
    <row r="49" spans="1:10" x14ac:dyDescent="0.25">
      <c r="A49" s="21" t="s">
        <v>56</v>
      </c>
      <c r="B49" s="21"/>
      <c r="C49" s="11">
        <v>80980</v>
      </c>
      <c r="D49" s="11">
        <v>357490</v>
      </c>
      <c r="E49" s="11">
        <v>65130</v>
      </c>
      <c r="F49" s="11">
        <v>7110</v>
      </c>
      <c r="G49" s="11">
        <f>SUM(C49:F49)</f>
        <v>510710</v>
      </c>
      <c r="H49" s="17">
        <f>ROUND(G49/2253,2)</f>
        <v>226.68</v>
      </c>
      <c r="I49" s="10"/>
      <c r="J49" s="10"/>
    </row>
    <row r="50" spans="1:10" x14ac:dyDescent="0.25">
      <c r="A50" s="21" t="s">
        <v>57</v>
      </c>
      <c r="B50" s="21"/>
      <c r="C50" s="11">
        <v>0</v>
      </c>
      <c r="D50" s="11">
        <v>0</v>
      </c>
      <c r="E50" s="11">
        <v>0</v>
      </c>
      <c r="F50" s="11">
        <v>0</v>
      </c>
      <c r="G50" s="11">
        <f>SUM(C50:F50)</f>
        <v>0</v>
      </c>
      <c r="H50" s="17">
        <f>ROUND(G50/2253,2)</f>
        <v>0</v>
      </c>
      <c r="I50" s="10"/>
      <c r="J50" s="10"/>
    </row>
    <row r="51" spans="1:10" x14ac:dyDescent="0.25">
      <c r="C51" s="9"/>
      <c r="D51" s="9"/>
      <c r="E51" s="9"/>
      <c r="F51" s="9"/>
      <c r="G51" s="9"/>
      <c r="H51" s="9"/>
      <c r="I51" s="10"/>
      <c r="J51" s="10"/>
    </row>
    <row r="52" spans="1:10" x14ac:dyDescent="0.25">
      <c r="C52" s="9"/>
      <c r="D52" s="9"/>
      <c r="E52" s="9"/>
      <c r="F52" s="9"/>
      <c r="G52" s="9"/>
      <c r="H52" s="9"/>
      <c r="I52" s="10"/>
      <c r="J52" s="10"/>
    </row>
    <row r="53" spans="1:10" x14ac:dyDescent="0.25">
      <c r="C53" s="9"/>
      <c r="D53" s="9"/>
      <c r="E53" s="9"/>
      <c r="F53" s="9"/>
      <c r="G53" s="9"/>
      <c r="H53" s="9"/>
      <c r="I53" s="10"/>
      <c r="J53" s="10"/>
    </row>
    <row r="54" spans="1:10" x14ac:dyDescent="0.25">
      <c r="C54" s="9"/>
      <c r="D54" s="9"/>
      <c r="E54" s="9"/>
      <c r="F54" s="9"/>
      <c r="G54" s="9"/>
      <c r="H54" s="9"/>
      <c r="I54" s="10"/>
      <c r="J54" s="10"/>
    </row>
    <row r="55" spans="1:10" x14ac:dyDescent="0.25">
      <c r="A55" s="26" t="s">
        <v>58</v>
      </c>
      <c r="B55" s="26"/>
      <c r="C55" s="15" t="s">
        <v>2</v>
      </c>
      <c r="D55" s="15">
        <v>2024</v>
      </c>
      <c r="E55" s="15" t="s">
        <v>60</v>
      </c>
      <c r="F55" s="14"/>
      <c r="G55" s="15" t="s">
        <v>61</v>
      </c>
      <c r="H55" s="15" t="s">
        <v>2</v>
      </c>
      <c r="I55" s="13" t="s">
        <v>62</v>
      </c>
      <c r="J55" s="13" t="s">
        <v>60</v>
      </c>
    </row>
    <row r="56" spans="1:10" x14ac:dyDescent="0.25">
      <c r="A56" s="21" t="s">
        <v>59</v>
      </c>
      <c r="B56" s="21"/>
      <c r="C56" s="16">
        <f>ROUND(0.6901, 4)</f>
        <v>0.69010000000000005</v>
      </c>
      <c r="D56" s="16">
        <f>ROUND(0.6298, 4)</f>
        <v>0.62980000000000003</v>
      </c>
      <c r="E56" s="16">
        <f>ROUND(0.7856, 4)</f>
        <v>0.78559999999999997</v>
      </c>
      <c r="F56" s="9"/>
      <c r="G56" s="15" t="s">
        <v>63</v>
      </c>
      <c r="H56" s="27" t="s">
        <v>64</v>
      </c>
      <c r="I56" s="24" t="s">
        <v>65</v>
      </c>
      <c r="J56" s="24" t="s">
        <v>66</v>
      </c>
    </row>
    <row r="57" spans="1:10" x14ac:dyDescent="0.25">
      <c r="A57" s="21" t="s">
        <v>67</v>
      </c>
      <c r="B57" s="21"/>
      <c r="C57" s="16">
        <f>ROUND(0.6901, 4)</f>
        <v>0.69010000000000005</v>
      </c>
      <c r="D57" s="16">
        <f>ROUND(0.6225, 4)</f>
        <v>0.62250000000000005</v>
      </c>
      <c r="E57" s="16">
        <f>ROUND(0.7702, 4)</f>
        <v>0.7702</v>
      </c>
      <c r="F57" s="9"/>
      <c r="G57" s="15" t="s">
        <v>68</v>
      </c>
      <c r="H57" s="28"/>
      <c r="I57" s="25"/>
      <c r="J57" s="25"/>
    </row>
    <row r="58" spans="1:10" x14ac:dyDescent="0.25">
      <c r="C58" s="9"/>
      <c r="D58" s="9"/>
      <c r="E58" s="9"/>
      <c r="F58" s="9"/>
      <c r="G58" s="9"/>
      <c r="H58" s="9"/>
      <c r="I58" s="10"/>
      <c r="J58" s="10"/>
    </row>
    <row r="59" spans="1:10" x14ac:dyDescent="0.25">
      <c r="C59" s="9"/>
      <c r="D59" s="9"/>
      <c r="E59" s="9"/>
      <c r="F59" s="9"/>
      <c r="G59" s="9"/>
      <c r="H59" s="9"/>
      <c r="I59" s="10"/>
      <c r="J59" s="10"/>
    </row>
    <row r="60" spans="1:10" x14ac:dyDescent="0.25">
      <c r="C60" s="9"/>
      <c r="D60" s="9"/>
      <c r="E60" s="9"/>
      <c r="F60" s="9"/>
      <c r="G60" s="9"/>
      <c r="H60" s="9"/>
      <c r="I60" s="10"/>
      <c r="J60" s="10"/>
    </row>
    <row r="61" spans="1:10" x14ac:dyDescent="0.25">
      <c r="A61" s="26" t="s">
        <v>69</v>
      </c>
      <c r="B61" s="26"/>
      <c r="C61" s="15" t="s">
        <v>2</v>
      </c>
      <c r="D61" s="15" t="s">
        <v>200</v>
      </c>
      <c r="E61" s="15" t="s">
        <v>71</v>
      </c>
      <c r="F61" s="15" t="s">
        <v>72</v>
      </c>
      <c r="G61" s="15" t="s">
        <v>73</v>
      </c>
      <c r="H61" s="14"/>
      <c r="I61" s="18"/>
      <c r="J61" s="18"/>
    </row>
    <row r="62" spans="1:10" x14ac:dyDescent="0.25">
      <c r="A62" s="21" t="s">
        <v>74</v>
      </c>
      <c r="B62" s="21"/>
      <c r="C62" s="17">
        <v>194.62</v>
      </c>
      <c r="D62" s="17">
        <v>174.01</v>
      </c>
      <c r="E62" s="17">
        <v>96.15</v>
      </c>
      <c r="F62" s="17">
        <v>57.94</v>
      </c>
      <c r="G62" s="17">
        <f>12/12*C62</f>
        <v>194.62</v>
      </c>
      <c r="H62" s="9"/>
      <c r="I62" s="10"/>
      <c r="J62" s="10"/>
    </row>
    <row r="63" spans="1:10" x14ac:dyDescent="0.25">
      <c r="A63" s="21" t="s">
        <v>75</v>
      </c>
      <c r="B63" s="21"/>
      <c r="C63" s="17">
        <v>20.84</v>
      </c>
      <c r="D63" s="17">
        <v>12.59</v>
      </c>
      <c r="E63" s="17">
        <v>62.28</v>
      </c>
      <c r="F63" s="17">
        <v>66.599999999999994</v>
      </c>
      <c r="G63" s="17">
        <f>12/12*C63</f>
        <v>20.84</v>
      </c>
      <c r="H63" s="9"/>
      <c r="I63" s="10"/>
      <c r="J63" s="10"/>
    </row>
    <row r="64" spans="1:10" x14ac:dyDescent="0.25">
      <c r="A64" s="21" t="s">
        <v>76</v>
      </c>
      <c r="B64" s="21"/>
      <c r="C64" s="17">
        <v>431.81</v>
      </c>
      <c r="D64" s="17">
        <v>303.17</v>
      </c>
      <c r="E64" s="17">
        <v>300.02</v>
      </c>
      <c r="F64" s="17">
        <v>295.08</v>
      </c>
      <c r="G64" s="17">
        <f>12/12*C64</f>
        <v>431.81</v>
      </c>
      <c r="H64" s="9"/>
      <c r="I64" s="10"/>
      <c r="J64" s="10"/>
    </row>
    <row r="65" spans="1:10" x14ac:dyDescent="0.25">
      <c r="A65" s="21" t="s">
        <v>77</v>
      </c>
      <c r="B65" s="21"/>
      <c r="C65" s="17">
        <v>226.68</v>
      </c>
      <c r="D65" s="17">
        <v>198.31</v>
      </c>
      <c r="E65" s="17">
        <v>120.96</v>
      </c>
      <c r="F65" s="17">
        <v>83.12</v>
      </c>
      <c r="G65" s="17">
        <f>12/12*C65</f>
        <v>226.68</v>
      </c>
      <c r="H65" s="9"/>
      <c r="I65" s="10"/>
      <c r="J65" s="10"/>
    </row>
    <row r="66" spans="1:10" x14ac:dyDescent="0.25">
      <c r="C66" s="9"/>
      <c r="D66" s="9"/>
      <c r="E66" s="9"/>
      <c r="F66" s="9"/>
      <c r="G66" s="9"/>
      <c r="H66" s="9"/>
      <c r="I66" s="10"/>
      <c r="J66" s="10"/>
    </row>
    <row r="67" spans="1:10" x14ac:dyDescent="0.25">
      <c r="C67" s="9"/>
      <c r="D67" s="9"/>
      <c r="E67" s="9"/>
      <c r="F67" s="9"/>
      <c r="G67" s="9"/>
      <c r="H67" s="9"/>
      <c r="I67" s="10"/>
      <c r="J67" s="10"/>
    </row>
    <row r="68" spans="1:10" x14ac:dyDescent="0.25">
      <c r="A68" s="22" t="s">
        <v>61</v>
      </c>
      <c r="B68" s="23"/>
      <c r="C68" s="9"/>
      <c r="D68" s="9"/>
      <c r="E68" s="9"/>
      <c r="F68" s="9"/>
      <c r="G68" s="9"/>
      <c r="H68" s="9"/>
      <c r="I68" s="10"/>
      <c r="J68" s="10"/>
    </row>
    <row r="69" spans="1:10" x14ac:dyDescent="0.25">
      <c r="A69" s="3" t="s">
        <v>78</v>
      </c>
      <c r="B69" s="1" t="s">
        <v>201</v>
      </c>
      <c r="C69" s="9"/>
      <c r="D69" s="9"/>
      <c r="E69" s="9"/>
      <c r="F69" s="9"/>
      <c r="G69" s="9"/>
      <c r="H69" s="9"/>
      <c r="I69" s="10"/>
      <c r="J69" s="10"/>
    </row>
    <row r="70" spans="1:10" x14ac:dyDescent="0.25">
      <c r="A70" s="3" t="s">
        <v>71</v>
      </c>
      <c r="B70" s="1" t="s">
        <v>80</v>
      </c>
      <c r="C70" s="9"/>
      <c r="D70" s="9"/>
      <c r="E70" s="9"/>
      <c r="F70" s="9"/>
      <c r="G70" s="9"/>
      <c r="H70" s="9"/>
      <c r="I70" s="10"/>
      <c r="J70" s="10"/>
    </row>
    <row r="71" spans="1:10" x14ac:dyDescent="0.25">
      <c r="A71" s="3" t="s">
        <v>72</v>
      </c>
      <c r="B71" s="1" t="s">
        <v>81</v>
      </c>
      <c r="C71" s="9"/>
      <c r="D71" s="9"/>
      <c r="E71" s="9"/>
      <c r="F71" s="9"/>
      <c r="G71" s="9"/>
      <c r="H71" s="9"/>
      <c r="I71" s="10"/>
      <c r="J71" s="10"/>
    </row>
    <row r="72" spans="1:10" x14ac:dyDescent="0.25">
      <c r="A72" s="3" t="s">
        <v>73</v>
      </c>
      <c r="B72" s="1" t="s">
        <v>82</v>
      </c>
      <c r="C72" s="9"/>
      <c r="D72" s="9"/>
      <c r="E72" s="9"/>
      <c r="F72" s="9"/>
      <c r="G72" s="9"/>
      <c r="H72" s="9"/>
      <c r="I72" s="10"/>
      <c r="J72" s="10"/>
    </row>
    <row r="73" spans="1:10" x14ac:dyDescent="0.25">
      <c r="C73" s="9"/>
      <c r="D73" s="9"/>
      <c r="E73" s="9"/>
      <c r="F73" s="9"/>
      <c r="G73" s="9"/>
      <c r="H73" s="9"/>
      <c r="I73" s="10"/>
      <c r="J73" s="10"/>
    </row>
    <row r="74" spans="1:10" x14ac:dyDescent="0.25">
      <c r="C74" s="9"/>
      <c r="D74" s="9"/>
      <c r="E74" s="9"/>
      <c r="F74" s="9"/>
      <c r="G74" s="9"/>
      <c r="H74" s="9"/>
      <c r="I74" s="10"/>
      <c r="J74" s="10"/>
    </row>
    <row r="75" spans="1:10" x14ac:dyDescent="0.25">
      <c r="C75" s="9"/>
      <c r="D75" s="9"/>
      <c r="E75" s="9"/>
      <c r="F75" s="9"/>
      <c r="G75" s="9"/>
      <c r="H75" s="9"/>
      <c r="I75" s="10"/>
      <c r="J75" s="10"/>
    </row>
    <row r="76" spans="1:10" x14ac:dyDescent="0.25">
      <c r="C76" s="9"/>
      <c r="D76" s="9"/>
      <c r="E76" s="9"/>
      <c r="F76" s="9"/>
      <c r="G76" s="9"/>
      <c r="H76" s="9"/>
      <c r="I76" s="10"/>
      <c r="J76" s="10"/>
    </row>
    <row r="77" spans="1:10" x14ac:dyDescent="0.25">
      <c r="C77" s="9"/>
      <c r="D77" s="9"/>
      <c r="E77" s="9"/>
      <c r="F77" s="9"/>
      <c r="G77" s="9"/>
      <c r="H77" s="9"/>
      <c r="I77" s="10"/>
      <c r="J77" s="10"/>
    </row>
    <row r="78" spans="1:10" x14ac:dyDescent="0.25">
      <c r="C78" s="9"/>
      <c r="D78" s="9"/>
      <c r="E78" s="9"/>
      <c r="F78" s="9"/>
      <c r="G78" s="9"/>
      <c r="H78" s="9"/>
      <c r="I78" s="10"/>
      <c r="J78" s="10"/>
    </row>
  </sheetData>
  <mergeCells count="19">
    <mergeCell ref="C7:G7"/>
    <mergeCell ref="A41:B41"/>
    <mergeCell ref="A42:B42"/>
    <mergeCell ref="A47:B47"/>
    <mergeCell ref="A48:B48"/>
    <mergeCell ref="J56:J57"/>
    <mergeCell ref="A57:B57"/>
    <mergeCell ref="A61:B61"/>
    <mergeCell ref="A62:B62"/>
    <mergeCell ref="A49:B49"/>
    <mergeCell ref="A50:B50"/>
    <mergeCell ref="A55:B55"/>
    <mergeCell ref="A56:B56"/>
    <mergeCell ref="H56:H57"/>
    <mergeCell ref="A63:B63"/>
    <mergeCell ref="A64:B64"/>
    <mergeCell ref="A65:B65"/>
    <mergeCell ref="A68:B68"/>
    <mergeCell ref="I56:I57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J78"/>
  <sheetViews>
    <sheetView workbookViewId="0">
      <selection activeCell="H5" sqref="H5"/>
    </sheetView>
  </sheetViews>
  <sheetFormatPr defaultRowHeight="15" x14ac:dyDescent="0.25"/>
  <cols>
    <col min="1" max="1" width="28.42578125" bestFit="1" customWidth="1"/>
    <col min="2" max="2" width="59.5703125" bestFit="1" customWidth="1"/>
    <col min="3" max="3" width="12.7109375" bestFit="1" customWidth="1"/>
    <col min="4" max="4" width="22.42578125" bestFit="1" customWidth="1"/>
    <col min="5" max="5" width="13.85546875" bestFit="1" customWidth="1"/>
    <col min="6" max="6" width="8.5703125" bestFit="1" customWidth="1"/>
    <col min="7" max="7" width="47.7109375" bestFit="1" customWidth="1"/>
    <col min="8" max="9" width="16.7109375" bestFit="1" customWidth="1"/>
    <col min="10" max="10" width="24.42578125" bestFit="1" customWidth="1"/>
  </cols>
  <sheetData>
    <row r="2" spans="1:10" ht="18.75" x14ac:dyDescent="0.3">
      <c r="A2" s="3" t="s">
        <v>0</v>
      </c>
      <c r="B2" s="4" t="s">
        <v>202</v>
      </c>
    </row>
    <row r="3" spans="1:10" x14ac:dyDescent="0.25">
      <c r="A3" s="3" t="s">
        <v>2</v>
      </c>
      <c r="B3" s="1" t="s">
        <v>3</v>
      </c>
    </row>
    <row r="4" spans="1:10" x14ac:dyDescent="0.25">
      <c r="A4" s="3" t="s">
        <v>4</v>
      </c>
      <c r="B4" s="20">
        <v>5747</v>
      </c>
    </row>
    <row r="7" spans="1:10" x14ac:dyDescent="0.25">
      <c r="C7" s="22" t="s">
        <v>5</v>
      </c>
      <c r="D7" s="21"/>
      <c r="E7" s="21"/>
      <c r="F7" s="21"/>
      <c r="G7" s="21"/>
    </row>
    <row r="8" spans="1:10" x14ac:dyDescent="0.25">
      <c r="A8" s="3" t="s">
        <v>6</v>
      </c>
      <c r="B8" s="3" t="s">
        <v>7</v>
      </c>
      <c r="C8" s="15" t="s">
        <v>8</v>
      </c>
      <c r="D8" s="15" t="s">
        <v>9</v>
      </c>
      <c r="E8" s="15" t="s">
        <v>10</v>
      </c>
      <c r="F8" s="15" t="s">
        <v>11</v>
      </c>
      <c r="G8" s="15" t="s">
        <v>12</v>
      </c>
      <c r="H8" s="15" t="s">
        <v>13</v>
      </c>
      <c r="I8" s="15" t="s">
        <v>14</v>
      </c>
      <c r="J8" s="15" t="s">
        <v>15</v>
      </c>
    </row>
    <row r="9" spans="1:10" x14ac:dyDescent="0.25">
      <c r="A9" s="1" t="s">
        <v>16</v>
      </c>
      <c r="B9" s="1" t="s">
        <v>17</v>
      </c>
      <c r="C9" s="11"/>
      <c r="D9" s="11"/>
      <c r="E9" s="11">
        <v>196</v>
      </c>
      <c r="F9" s="11"/>
      <c r="G9" s="11">
        <f t="shared" ref="G9:G46" si="0">SUM(C9:F9)</f>
        <v>196</v>
      </c>
      <c r="H9" s="17">
        <f t="shared" ref="H9:H46" si="1">ROUND(G9/5747,2)</f>
        <v>0.03</v>
      </c>
      <c r="I9" s="16">
        <f t="shared" ref="I9:I46" si="2">ROUND(G9/$G$47,3)</f>
        <v>0</v>
      </c>
      <c r="J9" s="16">
        <f>ROUND(G9/209-1,2)</f>
        <v>-0.06</v>
      </c>
    </row>
    <row r="10" spans="1:10" x14ac:dyDescent="0.25">
      <c r="A10" s="1" t="s">
        <v>16</v>
      </c>
      <c r="B10" s="1" t="s">
        <v>19</v>
      </c>
      <c r="C10" s="11">
        <v>178070</v>
      </c>
      <c r="D10" s="11"/>
      <c r="E10" s="11">
        <v>11385</v>
      </c>
      <c r="F10" s="11"/>
      <c r="G10" s="11">
        <f t="shared" si="0"/>
        <v>189455</v>
      </c>
      <c r="H10" s="17">
        <f t="shared" si="1"/>
        <v>32.97</v>
      </c>
      <c r="I10" s="16">
        <f t="shared" si="2"/>
        <v>7.4999999999999997E-2</v>
      </c>
      <c r="J10" s="16">
        <f>ROUND(G10/192750-1,2)</f>
        <v>-0.02</v>
      </c>
    </row>
    <row r="11" spans="1:10" x14ac:dyDescent="0.25">
      <c r="A11" s="1" t="s">
        <v>16</v>
      </c>
      <c r="B11" s="1" t="s">
        <v>20</v>
      </c>
      <c r="C11" s="11">
        <v>214760</v>
      </c>
      <c r="D11" s="11"/>
      <c r="E11" s="11"/>
      <c r="F11" s="11"/>
      <c r="G11" s="11">
        <f t="shared" si="0"/>
        <v>214760</v>
      </c>
      <c r="H11" s="17">
        <f t="shared" si="1"/>
        <v>37.369999999999997</v>
      </c>
      <c r="I11" s="16">
        <f t="shared" si="2"/>
        <v>8.5000000000000006E-2</v>
      </c>
      <c r="J11" s="16">
        <f>ROUND(G11/215340-1,2)</f>
        <v>0</v>
      </c>
    </row>
    <row r="12" spans="1:10" x14ac:dyDescent="0.25">
      <c r="A12" s="1" t="s">
        <v>16</v>
      </c>
      <c r="B12" s="1" t="s">
        <v>87</v>
      </c>
      <c r="C12" s="11"/>
      <c r="D12" s="11"/>
      <c r="E12" s="11">
        <v>165</v>
      </c>
      <c r="F12" s="11"/>
      <c r="G12" s="11">
        <f t="shared" si="0"/>
        <v>165</v>
      </c>
      <c r="H12" s="17">
        <f t="shared" si="1"/>
        <v>0.03</v>
      </c>
      <c r="I12" s="16">
        <f t="shared" si="2"/>
        <v>0</v>
      </c>
      <c r="J12" s="16"/>
    </row>
    <row r="13" spans="1:10" x14ac:dyDescent="0.25">
      <c r="A13" s="1" t="s">
        <v>16</v>
      </c>
      <c r="B13" s="1" t="s">
        <v>21</v>
      </c>
      <c r="C13" s="11"/>
      <c r="D13" s="11"/>
      <c r="E13" s="11">
        <v>112</v>
      </c>
      <c r="F13" s="11"/>
      <c r="G13" s="11">
        <f t="shared" si="0"/>
        <v>112</v>
      </c>
      <c r="H13" s="17">
        <f t="shared" si="1"/>
        <v>0.02</v>
      </c>
      <c r="I13" s="16">
        <f t="shared" si="2"/>
        <v>0</v>
      </c>
      <c r="J13" s="16"/>
    </row>
    <row r="14" spans="1:10" x14ac:dyDescent="0.25">
      <c r="A14" s="1" t="s">
        <v>16</v>
      </c>
      <c r="B14" s="1" t="s">
        <v>23</v>
      </c>
      <c r="C14" s="11"/>
      <c r="D14" s="11"/>
      <c r="E14" s="11">
        <v>90260</v>
      </c>
      <c r="F14" s="11"/>
      <c r="G14" s="11">
        <f t="shared" si="0"/>
        <v>90260</v>
      </c>
      <c r="H14" s="17">
        <f t="shared" si="1"/>
        <v>15.71</v>
      </c>
      <c r="I14" s="16">
        <f t="shared" si="2"/>
        <v>3.5999999999999997E-2</v>
      </c>
      <c r="J14" s="16">
        <f>ROUND(G14/96240-1,2)</f>
        <v>-0.06</v>
      </c>
    </row>
    <row r="15" spans="1:10" x14ac:dyDescent="0.25">
      <c r="A15" s="1" t="s">
        <v>16</v>
      </c>
      <c r="B15" s="1" t="s">
        <v>24</v>
      </c>
      <c r="C15" s="11">
        <v>250300</v>
      </c>
      <c r="D15" s="11"/>
      <c r="E15" s="11">
        <v>35500</v>
      </c>
      <c r="F15" s="11"/>
      <c r="G15" s="11">
        <f t="shared" si="0"/>
        <v>285800</v>
      </c>
      <c r="H15" s="17">
        <f t="shared" si="1"/>
        <v>49.73</v>
      </c>
      <c r="I15" s="16">
        <f t="shared" si="2"/>
        <v>0.113</v>
      </c>
      <c r="J15" s="16">
        <f>ROUND(G15/276900-1,2)</f>
        <v>0.03</v>
      </c>
    </row>
    <row r="16" spans="1:10" x14ac:dyDescent="0.25">
      <c r="A16" s="1" t="s">
        <v>16</v>
      </c>
      <c r="B16" s="1" t="s">
        <v>25</v>
      </c>
      <c r="C16" s="11"/>
      <c r="D16" s="11"/>
      <c r="E16" s="11">
        <v>12770</v>
      </c>
      <c r="F16" s="11"/>
      <c r="G16" s="11">
        <f t="shared" si="0"/>
        <v>12770</v>
      </c>
      <c r="H16" s="17">
        <f t="shared" si="1"/>
        <v>2.2200000000000002</v>
      </c>
      <c r="I16" s="16">
        <f t="shared" si="2"/>
        <v>5.0000000000000001E-3</v>
      </c>
      <c r="J16" s="16">
        <f>ROUND(G16/12780-1,2)</f>
        <v>0</v>
      </c>
    </row>
    <row r="17" spans="1:10" x14ac:dyDescent="0.25">
      <c r="A17" s="1" t="s">
        <v>16</v>
      </c>
      <c r="B17" s="1" t="s">
        <v>26</v>
      </c>
      <c r="C17" s="11">
        <v>430690</v>
      </c>
      <c r="D17" s="11"/>
      <c r="E17" s="11"/>
      <c r="F17" s="11">
        <v>500</v>
      </c>
      <c r="G17" s="11">
        <f t="shared" si="0"/>
        <v>431190</v>
      </c>
      <c r="H17" s="17">
        <f t="shared" si="1"/>
        <v>75.03</v>
      </c>
      <c r="I17" s="16">
        <f t="shared" si="2"/>
        <v>0.17100000000000001</v>
      </c>
      <c r="J17" s="16">
        <f>ROUND(G17/451300-1,2)</f>
        <v>-0.04</v>
      </c>
    </row>
    <row r="18" spans="1:10" x14ac:dyDescent="0.25">
      <c r="A18" s="1" t="s">
        <v>16</v>
      </c>
      <c r="B18" s="1" t="s">
        <v>27</v>
      </c>
      <c r="C18" s="11"/>
      <c r="D18" s="11"/>
      <c r="E18" s="11">
        <v>877</v>
      </c>
      <c r="F18" s="11"/>
      <c r="G18" s="11">
        <f t="shared" si="0"/>
        <v>877</v>
      </c>
      <c r="H18" s="17">
        <f t="shared" si="1"/>
        <v>0.15</v>
      </c>
      <c r="I18" s="16">
        <f t="shared" si="2"/>
        <v>0</v>
      </c>
      <c r="J18" s="16">
        <f>ROUND(G18/575-1,2)</f>
        <v>0.53</v>
      </c>
    </row>
    <row r="19" spans="1:10" x14ac:dyDescent="0.25">
      <c r="A19" s="1" t="s">
        <v>16</v>
      </c>
      <c r="B19" s="1" t="s">
        <v>28</v>
      </c>
      <c r="C19" s="11"/>
      <c r="D19" s="11"/>
      <c r="E19" s="11">
        <v>616</v>
      </c>
      <c r="F19" s="11"/>
      <c r="G19" s="11">
        <f t="shared" si="0"/>
        <v>616</v>
      </c>
      <c r="H19" s="17">
        <f t="shared" si="1"/>
        <v>0.11</v>
      </c>
      <c r="I19" s="16">
        <f t="shared" si="2"/>
        <v>0</v>
      </c>
      <c r="J19" s="16">
        <f>ROUND(G19/595-1,2)</f>
        <v>0.04</v>
      </c>
    </row>
    <row r="20" spans="1:10" x14ac:dyDescent="0.25">
      <c r="A20" s="1" t="s">
        <v>16</v>
      </c>
      <c r="B20" s="1" t="s">
        <v>29</v>
      </c>
      <c r="C20" s="11"/>
      <c r="D20" s="11"/>
      <c r="E20" s="11">
        <v>305</v>
      </c>
      <c r="F20" s="11"/>
      <c r="G20" s="11">
        <f t="shared" si="0"/>
        <v>305</v>
      </c>
      <c r="H20" s="17">
        <f t="shared" si="1"/>
        <v>0.05</v>
      </c>
      <c r="I20" s="16">
        <f t="shared" si="2"/>
        <v>0</v>
      </c>
      <c r="J20" s="16">
        <f>ROUND(G20/152-1,2)</f>
        <v>1.01</v>
      </c>
    </row>
    <row r="21" spans="1:10" x14ac:dyDescent="0.25">
      <c r="A21" s="1" t="s">
        <v>16</v>
      </c>
      <c r="B21" s="1" t="s">
        <v>30</v>
      </c>
      <c r="C21" s="11"/>
      <c r="D21" s="11"/>
      <c r="E21" s="11">
        <v>10110</v>
      </c>
      <c r="F21" s="11"/>
      <c r="G21" s="11">
        <f t="shared" si="0"/>
        <v>10110</v>
      </c>
      <c r="H21" s="17">
        <f t="shared" si="1"/>
        <v>1.76</v>
      </c>
      <c r="I21" s="16">
        <f t="shared" si="2"/>
        <v>4.0000000000000001E-3</v>
      </c>
      <c r="J21" s="16">
        <f>ROUND(G21/11670-1,2)</f>
        <v>-0.13</v>
      </c>
    </row>
    <row r="22" spans="1:10" x14ac:dyDescent="0.25">
      <c r="A22" s="1" t="s">
        <v>16</v>
      </c>
      <c r="B22" s="1" t="s">
        <v>31</v>
      </c>
      <c r="C22" s="11"/>
      <c r="D22" s="11"/>
      <c r="E22" s="11">
        <v>2190</v>
      </c>
      <c r="F22" s="11"/>
      <c r="G22" s="11">
        <f t="shared" si="0"/>
        <v>2190</v>
      </c>
      <c r="H22" s="17">
        <f t="shared" si="1"/>
        <v>0.38</v>
      </c>
      <c r="I22" s="16">
        <f t="shared" si="2"/>
        <v>1E-3</v>
      </c>
      <c r="J22" s="16">
        <f>ROUND(G22/2560-1,2)</f>
        <v>-0.14000000000000001</v>
      </c>
    </row>
    <row r="23" spans="1:10" x14ac:dyDescent="0.25">
      <c r="A23" s="1" t="s">
        <v>16</v>
      </c>
      <c r="B23" s="1" t="s">
        <v>32</v>
      </c>
      <c r="C23" s="11"/>
      <c r="D23" s="11"/>
      <c r="E23" s="11">
        <v>480</v>
      </c>
      <c r="F23" s="11"/>
      <c r="G23" s="11">
        <f t="shared" si="0"/>
        <v>480</v>
      </c>
      <c r="H23" s="17">
        <f t="shared" si="1"/>
        <v>0.08</v>
      </c>
      <c r="I23" s="16">
        <f t="shared" si="2"/>
        <v>0</v>
      </c>
      <c r="J23" s="16">
        <f>ROUND(G23/570-1,2)</f>
        <v>-0.16</v>
      </c>
    </row>
    <row r="24" spans="1:10" x14ac:dyDescent="0.25">
      <c r="A24" s="1" t="s">
        <v>16</v>
      </c>
      <c r="B24" s="1" t="s">
        <v>33</v>
      </c>
      <c r="C24" s="11"/>
      <c r="D24" s="11"/>
      <c r="E24" s="11">
        <v>3030</v>
      </c>
      <c r="F24" s="11"/>
      <c r="G24" s="11">
        <f t="shared" si="0"/>
        <v>3030</v>
      </c>
      <c r="H24" s="17">
        <f t="shared" si="1"/>
        <v>0.53</v>
      </c>
      <c r="I24" s="16">
        <f t="shared" si="2"/>
        <v>1E-3</v>
      </c>
      <c r="J24" s="16"/>
    </row>
    <row r="25" spans="1:10" x14ac:dyDescent="0.25">
      <c r="A25" s="1" t="s">
        <v>16</v>
      </c>
      <c r="B25" s="1" t="s">
        <v>34</v>
      </c>
      <c r="C25" s="11"/>
      <c r="D25" s="11">
        <v>361</v>
      </c>
      <c r="E25" s="11">
        <v>441</v>
      </c>
      <c r="F25" s="11"/>
      <c r="G25" s="11">
        <f t="shared" si="0"/>
        <v>802</v>
      </c>
      <c r="H25" s="17">
        <f t="shared" si="1"/>
        <v>0.14000000000000001</v>
      </c>
      <c r="I25" s="16">
        <f t="shared" si="2"/>
        <v>0</v>
      </c>
      <c r="J25" s="16">
        <f>ROUND(G25/748-1,2)</f>
        <v>7.0000000000000007E-2</v>
      </c>
    </row>
    <row r="26" spans="1:10" x14ac:dyDescent="0.25">
      <c r="A26" s="1" t="s">
        <v>16</v>
      </c>
      <c r="B26" s="1" t="s">
        <v>36</v>
      </c>
      <c r="C26" s="11"/>
      <c r="D26" s="11"/>
      <c r="E26" s="11">
        <v>750</v>
      </c>
      <c r="F26" s="11"/>
      <c r="G26" s="11">
        <f t="shared" si="0"/>
        <v>750</v>
      </c>
      <c r="H26" s="17">
        <f t="shared" si="1"/>
        <v>0.13</v>
      </c>
      <c r="I26" s="16">
        <f t="shared" si="2"/>
        <v>0</v>
      </c>
      <c r="J26" s="16">
        <f>ROUND(G26/997-1,2)</f>
        <v>-0.25</v>
      </c>
    </row>
    <row r="27" spans="1:10" x14ac:dyDescent="0.25">
      <c r="A27" s="1" t="s">
        <v>16</v>
      </c>
      <c r="B27" s="1" t="s">
        <v>35</v>
      </c>
      <c r="C27" s="11"/>
      <c r="D27" s="11"/>
      <c r="E27" s="11">
        <v>2903</v>
      </c>
      <c r="F27" s="11"/>
      <c r="G27" s="11">
        <f t="shared" si="0"/>
        <v>2903</v>
      </c>
      <c r="H27" s="17">
        <f t="shared" si="1"/>
        <v>0.51</v>
      </c>
      <c r="I27" s="16">
        <f t="shared" si="2"/>
        <v>1E-3</v>
      </c>
      <c r="J27" s="16">
        <f>ROUND(G27/855-1,2)</f>
        <v>2.4</v>
      </c>
    </row>
    <row r="28" spans="1:10" x14ac:dyDescent="0.25">
      <c r="A28" s="1" t="s">
        <v>16</v>
      </c>
      <c r="B28" s="1" t="s">
        <v>37</v>
      </c>
      <c r="C28" s="11"/>
      <c r="D28" s="11"/>
      <c r="E28" s="11">
        <v>4510</v>
      </c>
      <c r="F28" s="11"/>
      <c r="G28" s="11">
        <f t="shared" si="0"/>
        <v>4510</v>
      </c>
      <c r="H28" s="17">
        <f t="shared" si="1"/>
        <v>0.78</v>
      </c>
      <c r="I28" s="16">
        <f t="shared" si="2"/>
        <v>2E-3</v>
      </c>
      <c r="J28" s="16">
        <f>ROUND(G28/3030-1,2)</f>
        <v>0.49</v>
      </c>
    </row>
    <row r="29" spans="1:10" x14ac:dyDescent="0.25">
      <c r="A29" s="1" t="s">
        <v>16</v>
      </c>
      <c r="B29" s="1" t="s">
        <v>38</v>
      </c>
      <c r="C29" s="11"/>
      <c r="D29" s="11"/>
      <c r="E29" s="11">
        <v>8340</v>
      </c>
      <c r="F29" s="11"/>
      <c r="G29" s="11">
        <f t="shared" si="0"/>
        <v>8340</v>
      </c>
      <c r="H29" s="17">
        <f t="shared" si="1"/>
        <v>1.45</v>
      </c>
      <c r="I29" s="16">
        <f t="shared" si="2"/>
        <v>3.0000000000000001E-3</v>
      </c>
      <c r="J29" s="16">
        <f>ROUND(G29/13260-1,2)</f>
        <v>-0.37</v>
      </c>
    </row>
    <row r="30" spans="1:10" x14ac:dyDescent="0.25">
      <c r="A30" s="1" t="s">
        <v>16</v>
      </c>
      <c r="B30" s="1" t="s">
        <v>39</v>
      </c>
      <c r="C30" s="11"/>
      <c r="D30" s="11"/>
      <c r="E30" s="11">
        <v>21500</v>
      </c>
      <c r="F30" s="11"/>
      <c r="G30" s="11">
        <f t="shared" si="0"/>
        <v>21500</v>
      </c>
      <c r="H30" s="17">
        <f t="shared" si="1"/>
        <v>3.74</v>
      </c>
      <c r="I30" s="16">
        <f t="shared" si="2"/>
        <v>8.9999999999999993E-3</v>
      </c>
      <c r="J30" s="16">
        <f>ROUND(G30/15345-1,2)</f>
        <v>0.4</v>
      </c>
    </row>
    <row r="31" spans="1:10" x14ac:dyDescent="0.25">
      <c r="A31" s="1" t="s">
        <v>16</v>
      </c>
      <c r="B31" s="1" t="s">
        <v>40</v>
      </c>
      <c r="C31" s="11"/>
      <c r="D31" s="11"/>
      <c r="E31" s="11">
        <v>185205</v>
      </c>
      <c r="F31" s="11"/>
      <c r="G31" s="11">
        <f t="shared" si="0"/>
        <v>185205</v>
      </c>
      <c r="H31" s="17">
        <f t="shared" si="1"/>
        <v>32.229999999999997</v>
      </c>
      <c r="I31" s="16">
        <f t="shared" si="2"/>
        <v>7.2999999999999995E-2</v>
      </c>
      <c r="J31" s="16">
        <f>ROUND(G31/171470-1,2)</f>
        <v>0.08</v>
      </c>
    </row>
    <row r="32" spans="1:10" x14ac:dyDescent="0.25">
      <c r="A32" s="1" t="s">
        <v>16</v>
      </c>
      <c r="B32" s="1" t="s">
        <v>41</v>
      </c>
      <c r="C32" s="11"/>
      <c r="D32" s="11"/>
      <c r="E32" s="11">
        <v>11650</v>
      </c>
      <c r="F32" s="11"/>
      <c r="G32" s="11">
        <f t="shared" si="0"/>
        <v>11650</v>
      </c>
      <c r="H32" s="17">
        <f t="shared" si="1"/>
        <v>2.0299999999999998</v>
      </c>
      <c r="I32" s="16">
        <f t="shared" si="2"/>
        <v>5.0000000000000001E-3</v>
      </c>
      <c r="J32" s="16">
        <f>ROUND(G32/6640-1,2)</f>
        <v>0.75</v>
      </c>
    </row>
    <row r="33" spans="1:10" x14ac:dyDescent="0.25">
      <c r="A33" s="1" t="s">
        <v>16</v>
      </c>
      <c r="B33" s="1" t="s">
        <v>42</v>
      </c>
      <c r="C33" s="11"/>
      <c r="D33" s="11"/>
      <c r="E33" s="11">
        <v>46120</v>
      </c>
      <c r="F33" s="11"/>
      <c r="G33" s="11">
        <f t="shared" si="0"/>
        <v>46120</v>
      </c>
      <c r="H33" s="17">
        <f t="shared" si="1"/>
        <v>8.0299999999999994</v>
      </c>
      <c r="I33" s="16">
        <f t="shared" si="2"/>
        <v>1.7999999999999999E-2</v>
      </c>
      <c r="J33" s="16">
        <f>ROUND(G33/42440-1,2)</f>
        <v>0.09</v>
      </c>
    </row>
    <row r="34" spans="1:10" x14ac:dyDescent="0.25">
      <c r="A34" s="1" t="s">
        <v>16</v>
      </c>
      <c r="B34" s="1" t="s">
        <v>44</v>
      </c>
      <c r="C34" s="11"/>
      <c r="D34" s="11"/>
      <c r="E34" s="11">
        <v>259160</v>
      </c>
      <c r="F34" s="11"/>
      <c r="G34" s="11">
        <f t="shared" si="0"/>
        <v>259160</v>
      </c>
      <c r="H34" s="17">
        <f t="shared" si="1"/>
        <v>45.09</v>
      </c>
      <c r="I34" s="16">
        <f t="shared" si="2"/>
        <v>0.10299999999999999</v>
      </c>
      <c r="J34" s="16">
        <f>ROUND(G34/222500-1,2)</f>
        <v>0.16</v>
      </c>
    </row>
    <row r="35" spans="1:10" x14ac:dyDescent="0.25">
      <c r="A35" s="1" t="s">
        <v>16</v>
      </c>
      <c r="B35" s="1" t="s">
        <v>96</v>
      </c>
      <c r="C35" s="11"/>
      <c r="D35" s="11"/>
      <c r="E35" s="11"/>
      <c r="F35" s="11"/>
      <c r="G35" s="11">
        <f t="shared" si="0"/>
        <v>0</v>
      </c>
      <c r="H35" s="17">
        <f t="shared" si="1"/>
        <v>0</v>
      </c>
      <c r="I35" s="16">
        <f t="shared" si="2"/>
        <v>0</v>
      </c>
      <c r="J35" s="16"/>
    </row>
    <row r="36" spans="1:10" x14ac:dyDescent="0.25">
      <c r="A36" s="1" t="s">
        <v>16</v>
      </c>
      <c r="B36" s="1" t="s">
        <v>121</v>
      </c>
      <c r="C36" s="11"/>
      <c r="D36" s="11"/>
      <c r="E36" s="11"/>
      <c r="F36" s="11"/>
      <c r="G36" s="11">
        <f t="shared" si="0"/>
        <v>0</v>
      </c>
      <c r="H36" s="17">
        <f t="shared" si="1"/>
        <v>0</v>
      </c>
      <c r="I36" s="16">
        <f t="shared" si="2"/>
        <v>0</v>
      </c>
      <c r="J36" s="16"/>
    </row>
    <row r="37" spans="1:10" x14ac:dyDescent="0.25">
      <c r="A37" s="1" t="s">
        <v>16</v>
      </c>
      <c r="B37" s="1" t="s">
        <v>161</v>
      </c>
      <c r="C37" s="11"/>
      <c r="D37" s="11"/>
      <c r="E37" s="11"/>
      <c r="F37" s="11"/>
      <c r="G37" s="11">
        <f t="shared" si="0"/>
        <v>0</v>
      </c>
      <c r="H37" s="17">
        <f t="shared" si="1"/>
        <v>0</v>
      </c>
      <c r="I37" s="16">
        <f t="shared" si="2"/>
        <v>0</v>
      </c>
      <c r="J37" s="16"/>
    </row>
    <row r="38" spans="1:10" x14ac:dyDescent="0.25">
      <c r="A38" s="1" t="s">
        <v>16</v>
      </c>
      <c r="B38" s="1" t="s">
        <v>203</v>
      </c>
      <c r="C38" s="11"/>
      <c r="D38" s="11"/>
      <c r="E38" s="11"/>
      <c r="F38" s="11"/>
      <c r="G38" s="11">
        <f t="shared" si="0"/>
        <v>0</v>
      </c>
      <c r="H38" s="17">
        <f t="shared" si="1"/>
        <v>0</v>
      </c>
      <c r="I38" s="16">
        <f t="shared" si="2"/>
        <v>0</v>
      </c>
      <c r="J38" s="16"/>
    </row>
    <row r="39" spans="1:10" x14ac:dyDescent="0.25">
      <c r="A39" s="1" t="s">
        <v>45</v>
      </c>
      <c r="B39" s="1" t="s">
        <v>46</v>
      </c>
      <c r="C39" s="11">
        <v>531760</v>
      </c>
      <c r="D39" s="11"/>
      <c r="E39" s="11"/>
      <c r="F39" s="11"/>
      <c r="G39" s="11">
        <f t="shared" si="0"/>
        <v>531760</v>
      </c>
      <c r="H39" s="17">
        <f t="shared" si="1"/>
        <v>92.53</v>
      </c>
      <c r="I39" s="16">
        <f t="shared" si="2"/>
        <v>0.21099999999999999</v>
      </c>
      <c r="J39" s="16">
        <f>ROUND(G39/498880-1,2)</f>
        <v>7.0000000000000007E-2</v>
      </c>
    </row>
    <row r="40" spans="1:10" x14ac:dyDescent="0.25">
      <c r="A40" s="1" t="s">
        <v>45</v>
      </c>
      <c r="B40" s="1" t="s">
        <v>48</v>
      </c>
      <c r="C40" s="11"/>
      <c r="D40" s="11"/>
      <c r="E40" s="11"/>
      <c r="F40" s="11">
        <v>90510</v>
      </c>
      <c r="G40" s="11">
        <f t="shared" si="0"/>
        <v>90510</v>
      </c>
      <c r="H40" s="17">
        <f t="shared" si="1"/>
        <v>15.75</v>
      </c>
      <c r="I40" s="16">
        <f t="shared" si="2"/>
        <v>3.5999999999999997E-2</v>
      </c>
      <c r="J40" s="16">
        <f>ROUND(G40/74580-1,2)</f>
        <v>0.21</v>
      </c>
    </row>
    <row r="41" spans="1:10" x14ac:dyDescent="0.25">
      <c r="A41" s="1" t="s">
        <v>45</v>
      </c>
      <c r="B41" s="1" t="s">
        <v>47</v>
      </c>
      <c r="C41" s="11"/>
      <c r="D41" s="11"/>
      <c r="E41" s="11">
        <v>118660</v>
      </c>
      <c r="F41" s="11"/>
      <c r="G41" s="11">
        <f t="shared" si="0"/>
        <v>118660</v>
      </c>
      <c r="H41" s="17">
        <f t="shared" si="1"/>
        <v>20.65</v>
      </c>
      <c r="I41" s="16">
        <f t="shared" si="2"/>
        <v>4.7E-2</v>
      </c>
      <c r="J41" s="16">
        <f>ROUND(G41/96420-1,2)</f>
        <v>0.23</v>
      </c>
    </row>
    <row r="42" spans="1:10" x14ac:dyDescent="0.25">
      <c r="A42" s="1" t="s">
        <v>49</v>
      </c>
      <c r="B42" s="1" t="s">
        <v>52</v>
      </c>
      <c r="C42" s="11"/>
      <c r="D42" s="11"/>
      <c r="E42" s="11"/>
      <c r="F42" s="11"/>
      <c r="G42" s="11">
        <f t="shared" si="0"/>
        <v>0</v>
      </c>
      <c r="H42" s="17">
        <f t="shared" si="1"/>
        <v>0</v>
      </c>
      <c r="I42" s="16">
        <f t="shared" si="2"/>
        <v>0</v>
      </c>
      <c r="J42" s="16"/>
    </row>
    <row r="43" spans="1:10" x14ac:dyDescent="0.25">
      <c r="A43" s="1" t="s">
        <v>49</v>
      </c>
      <c r="B43" s="1" t="s">
        <v>50</v>
      </c>
      <c r="C43" s="11"/>
      <c r="D43" s="11"/>
      <c r="E43" s="11"/>
      <c r="F43" s="11"/>
      <c r="G43" s="11">
        <f t="shared" si="0"/>
        <v>0</v>
      </c>
      <c r="H43" s="17">
        <f t="shared" si="1"/>
        <v>0</v>
      </c>
      <c r="I43" s="16">
        <f t="shared" si="2"/>
        <v>0</v>
      </c>
      <c r="J43" s="16"/>
    </row>
    <row r="44" spans="1:10" x14ac:dyDescent="0.25">
      <c r="A44" s="1" t="s">
        <v>49</v>
      </c>
      <c r="B44" s="1" t="s">
        <v>51</v>
      </c>
      <c r="C44" s="11"/>
      <c r="D44" s="11"/>
      <c r="E44" s="11"/>
      <c r="F44" s="11"/>
      <c r="G44" s="11">
        <f t="shared" si="0"/>
        <v>0</v>
      </c>
      <c r="H44" s="17">
        <f t="shared" si="1"/>
        <v>0</v>
      </c>
      <c r="I44" s="16">
        <f t="shared" si="2"/>
        <v>0</v>
      </c>
      <c r="J44" s="16"/>
    </row>
    <row r="45" spans="1:10" x14ac:dyDescent="0.25">
      <c r="A45" s="1" t="s">
        <v>49</v>
      </c>
      <c r="B45" s="1" t="s">
        <v>100</v>
      </c>
      <c r="C45" s="11"/>
      <c r="D45" s="11"/>
      <c r="E45" s="11"/>
      <c r="F45" s="11"/>
      <c r="G45" s="11">
        <f t="shared" si="0"/>
        <v>0</v>
      </c>
      <c r="H45" s="17">
        <f t="shared" si="1"/>
        <v>0</v>
      </c>
      <c r="I45" s="16">
        <f t="shared" si="2"/>
        <v>0</v>
      </c>
      <c r="J45" s="16"/>
    </row>
    <row r="46" spans="1:10" x14ac:dyDescent="0.25">
      <c r="A46" s="1" t="s">
        <v>49</v>
      </c>
      <c r="B46" s="1" t="s">
        <v>88</v>
      </c>
      <c r="C46" s="11"/>
      <c r="D46" s="11"/>
      <c r="E46" s="11"/>
      <c r="F46" s="11"/>
      <c r="G46" s="11">
        <f t="shared" si="0"/>
        <v>0</v>
      </c>
      <c r="H46" s="17">
        <f t="shared" si="1"/>
        <v>0</v>
      </c>
      <c r="I46" s="16">
        <f t="shared" si="2"/>
        <v>0</v>
      </c>
      <c r="J46" s="16"/>
    </row>
    <row r="47" spans="1:10" x14ac:dyDescent="0.25">
      <c r="A47" s="26" t="s">
        <v>12</v>
      </c>
      <c r="B47" s="26"/>
      <c r="C47" s="12">
        <f t="shared" ref="C47:H47" si="3">SUM(C8:C46)</f>
        <v>1605580</v>
      </c>
      <c r="D47" s="12">
        <f t="shared" si="3"/>
        <v>361</v>
      </c>
      <c r="E47" s="12">
        <f t="shared" si="3"/>
        <v>827235</v>
      </c>
      <c r="F47" s="12">
        <f t="shared" si="3"/>
        <v>91010</v>
      </c>
      <c r="G47" s="12">
        <f t="shared" si="3"/>
        <v>2524186</v>
      </c>
      <c r="H47" s="15">
        <f t="shared" si="3"/>
        <v>439.2299999999999</v>
      </c>
      <c r="I47" s="18"/>
      <c r="J47" s="18"/>
    </row>
    <row r="48" spans="1:10" x14ac:dyDescent="0.25">
      <c r="A48" s="26" t="s">
        <v>14</v>
      </c>
      <c r="B48" s="26"/>
      <c r="C48" s="13">
        <f>ROUND(C47/G47,2)</f>
        <v>0.64</v>
      </c>
      <c r="D48" s="13">
        <f>ROUND(D47/G47,2)</f>
        <v>0</v>
      </c>
      <c r="E48" s="13">
        <f>ROUND(E47/G47,2)</f>
        <v>0.33</v>
      </c>
      <c r="F48" s="13">
        <f>ROUND(F47/G47,2)</f>
        <v>0.04</v>
      </c>
      <c r="G48" s="14"/>
      <c r="H48" s="14"/>
      <c r="I48" s="18"/>
      <c r="J48" s="18"/>
    </row>
    <row r="49" spans="1:10" x14ac:dyDescent="0.25">
      <c r="A49" s="2" t="s">
        <v>53</v>
      </c>
      <c r="B49" s="2"/>
      <c r="C49" s="14"/>
      <c r="D49" s="14"/>
      <c r="E49" s="14"/>
      <c r="F49" s="14"/>
      <c r="G49" s="14"/>
      <c r="H49" s="14"/>
      <c r="I49" s="18"/>
      <c r="J49" s="18"/>
    </row>
    <row r="50" spans="1:10" x14ac:dyDescent="0.25">
      <c r="C50" s="9"/>
      <c r="D50" s="9"/>
      <c r="E50" s="9"/>
      <c r="F50" s="9"/>
      <c r="G50" s="9"/>
      <c r="H50" s="9"/>
      <c r="I50" s="10"/>
      <c r="J50" s="10"/>
    </row>
    <row r="51" spans="1:10" x14ac:dyDescent="0.25">
      <c r="C51" s="9"/>
      <c r="D51" s="9"/>
      <c r="E51" s="9"/>
      <c r="F51" s="9"/>
      <c r="G51" s="9"/>
      <c r="H51" s="9"/>
      <c r="I51" s="10"/>
      <c r="J51" s="10"/>
    </row>
    <row r="52" spans="1:10" x14ac:dyDescent="0.25">
      <c r="C52" s="9"/>
      <c r="D52" s="9"/>
      <c r="E52" s="9"/>
      <c r="F52" s="9"/>
      <c r="G52" s="9"/>
      <c r="H52" s="9"/>
      <c r="I52" s="10"/>
      <c r="J52" s="10"/>
    </row>
    <row r="53" spans="1:10" x14ac:dyDescent="0.25">
      <c r="A53" s="26" t="s">
        <v>54</v>
      </c>
      <c r="B53" s="26"/>
      <c r="C53" s="12" t="s">
        <v>8</v>
      </c>
      <c r="D53" s="12" t="s">
        <v>9</v>
      </c>
      <c r="E53" s="12" t="s">
        <v>10</v>
      </c>
      <c r="F53" s="12" t="s">
        <v>11</v>
      </c>
      <c r="G53" s="12" t="s">
        <v>12</v>
      </c>
      <c r="H53" s="15" t="s">
        <v>13</v>
      </c>
      <c r="I53" s="18"/>
      <c r="J53" s="18"/>
    </row>
    <row r="54" spans="1:10" x14ac:dyDescent="0.25">
      <c r="A54" s="21" t="s">
        <v>55</v>
      </c>
      <c r="B54" s="21"/>
      <c r="C54" s="11">
        <v>1073820</v>
      </c>
      <c r="D54" s="11">
        <v>361</v>
      </c>
      <c r="E54" s="11">
        <v>708575</v>
      </c>
      <c r="F54" s="11">
        <v>500</v>
      </c>
      <c r="G54" s="11">
        <f>SUM(C54:F54)</f>
        <v>1783256</v>
      </c>
      <c r="H54" s="17">
        <f>ROUND(G54/5747,2)</f>
        <v>310.29000000000002</v>
      </c>
      <c r="I54" s="10"/>
      <c r="J54" s="10"/>
    </row>
    <row r="55" spans="1:10" x14ac:dyDescent="0.25">
      <c r="A55" s="21" t="s">
        <v>56</v>
      </c>
      <c r="B55" s="21"/>
      <c r="C55" s="11">
        <v>531760</v>
      </c>
      <c r="D55" s="11">
        <v>0</v>
      </c>
      <c r="E55" s="11">
        <v>118660</v>
      </c>
      <c r="F55" s="11">
        <v>90510</v>
      </c>
      <c r="G55" s="11">
        <f>SUM(C55:F55)</f>
        <v>740930</v>
      </c>
      <c r="H55" s="17">
        <f>ROUND(G55/5747,2)</f>
        <v>128.91999999999999</v>
      </c>
      <c r="I55" s="10"/>
      <c r="J55" s="10"/>
    </row>
    <row r="56" spans="1:10" x14ac:dyDescent="0.25">
      <c r="A56" s="21" t="s">
        <v>57</v>
      </c>
      <c r="B56" s="21"/>
      <c r="C56" s="11">
        <v>0</v>
      </c>
      <c r="D56" s="11">
        <v>0</v>
      </c>
      <c r="E56" s="11">
        <v>0</v>
      </c>
      <c r="F56" s="11">
        <v>0</v>
      </c>
      <c r="G56" s="11">
        <f>SUM(C56:F56)</f>
        <v>0</v>
      </c>
      <c r="H56" s="17">
        <f>ROUND(G56/5747,2)</f>
        <v>0</v>
      </c>
      <c r="I56" s="10"/>
      <c r="J56" s="10"/>
    </row>
    <row r="57" spans="1:10" x14ac:dyDescent="0.25">
      <c r="C57" s="9"/>
      <c r="D57" s="9"/>
      <c r="E57" s="9"/>
      <c r="F57" s="9"/>
      <c r="G57" s="9"/>
      <c r="H57" s="9"/>
      <c r="I57" s="10"/>
      <c r="J57" s="10"/>
    </row>
    <row r="58" spans="1:10" x14ac:dyDescent="0.25">
      <c r="C58" s="9"/>
      <c r="D58" s="9"/>
      <c r="E58" s="9"/>
      <c r="F58" s="9"/>
      <c r="G58" s="9"/>
      <c r="H58" s="9"/>
      <c r="I58" s="10"/>
      <c r="J58" s="10"/>
    </row>
    <row r="59" spans="1:10" x14ac:dyDescent="0.25">
      <c r="C59" s="9"/>
      <c r="D59" s="9"/>
      <c r="E59" s="9"/>
      <c r="F59" s="9"/>
      <c r="G59" s="9"/>
      <c r="H59" s="9"/>
      <c r="I59" s="10"/>
      <c r="J59" s="10"/>
    </row>
    <row r="60" spans="1:10" x14ac:dyDescent="0.25">
      <c r="C60" s="9"/>
      <c r="D60" s="9"/>
      <c r="E60" s="9"/>
      <c r="F60" s="9"/>
      <c r="G60" s="9"/>
      <c r="H60" s="9"/>
      <c r="I60" s="10"/>
      <c r="J60" s="10"/>
    </row>
    <row r="61" spans="1:10" x14ac:dyDescent="0.25">
      <c r="A61" s="26" t="s">
        <v>58</v>
      </c>
      <c r="B61" s="26"/>
      <c r="C61" s="15" t="s">
        <v>2</v>
      </c>
      <c r="D61" s="15">
        <v>2024</v>
      </c>
      <c r="E61" s="15" t="s">
        <v>60</v>
      </c>
      <c r="F61" s="14"/>
      <c r="G61" s="15" t="s">
        <v>61</v>
      </c>
      <c r="H61" s="15" t="s">
        <v>2</v>
      </c>
      <c r="I61" s="13" t="s">
        <v>62</v>
      </c>
      <c r="J61" s="13" t="s">
        <v>60</v>
      </c>
    </row>
    <row r="62" spans="1:10" x14ac:dyDescent="0.25">
      <c r="A62" s="21" t="s">
        <v>59</v>
      </c>
      <c r="B62" s="21"/>
      <c r="C62" s="16">
        <f>ROUND(0.7815, 4)</f>
        <v>0.78149999999999997</v>
      </c>
      <c r="D62" s="16">
        <f>ROUND(0.7792, 4)</f>
        <v>0.7792</v>
      </c>
      <c r="E62" s="16">
        <f>ROUND(0.7856, 4)</f>
        <v>0.78559999999999997</v>
      </c>
      <c r="F62" s="9"/>
      <c r="G62" s="15" t="s">
        <v>63</v>
      </c>
      <c r="H62" s="27" t="s">
        <v>64</v>
      </c>
      <c r="I62" s="24" t="s">
        <v>65</v>
      </c>
      <c r="J62" s="24" t="s">
        <v>66</v>
      </c>
    </row>
    <row r="63" spans="1:10" x14ac:dyDescent="0.25">
      <c r="A63" s="21" t="s">
        <v>67</v>
      </c>
      <c r="B63" s="21"/>
      <c r="C63" s="16">
        <f>ROUND(0.7815, 4)</f>
        <v>0.78149999999999997</v>
      </c>
      <c r="D63" s="16">
        <f>ROUND(0.7685, 4)</f>
        <v>0.76849999999999996</v>
      </c>
      <c r="E63" s="16">
        <f>ROUND(0.7702, 4)</f>
        <v>0.7702</v>
      </c>
      <c r="F63" s="9"/>
      <c r="G63" s="15" t="s">
        <v>68</v>
      </c>
      <c r="H63" s="28"/>
      <c r="I63" s="25"/>
      <c r="J63" s="25"/>
    </row>
    <row r="64" spans="1:10" x14ac:dyDescent="0.25">
      <c r="C64" s="9"/>
      <c r="D64" s="9"/>
      <c r="E64" s="9"/>
      <c r="F64" s="9"/>
      <c r="G64" s="9"/>
      <c r="H64" s="9"/>
      <c r="I64" s="10"/>
      <c r="J64" s="10"/>
    </row>
    <row r="65" spans="1:10" x14ac:dyDescent="0.25">
      <c r="C65" s="9"/>
      <c r="D65" s="9"/>
      <c r="E65" s="9"/>
      <c r="F65" s="9"/>
      <c r="G65" s="9"/>
      <c r="H65" s="9"/>
      <c r="I65" s="10"/>
      <c r="J65" s="10"/>
    </row>
    <row r="66" spans="1:10" x14ac:dyDescent="0.25">
      <c r="C66" s="9"/>
      <c r="D66" s="9"/>
      <c r="E66" s="9"/>
      <c r="F66" s="9"/>
      <c r="G66" s="9"/>
      <c r="H66" s="9"/>
      <c r="I66" s="10"/>
      <c r="J66" s="10"/>
    </row>
    <row r="67" spans="1:10" x14ac:dyDescent="0.25">
      <c r="A67" s="26" t="s">
        <v>69</v>
      </c>
      <c r="B67" s="26"/>
      <c r="C67" s="15" t="s">
        <v>2</v>
      </c>
      <c r="D67" s="15" t="s">
        <v>204</v>
      </c>
      <c r="E67" s="15" t="s">
        <v>71</v>
      </c>
      <c r="F67" s="15" t="s">
        <v>72</v>
      </c>
      <c r="G67" s="15" t="s">
        <v>73</v>
      </c>
      <c r="H67" s="14"/>
      <c r="I67" s="18"/>
      <c r="J67" s="18"/>
    </row>
    <row r="68" spans="1:10" x14ac:dyDescent="0.25">
      <c r="A68" s="21" t="s">
        <v>74</v>
      </c>
      <c r="B68" s="21"/>
      <c r="C68" s="17">
        <v>92.53</v>
      </c>
      <c r="D68" s="17">
        <v>84.45</v>
      </c>
      <c r="E68" s="17">
        <v>96.15</v>
      </c>
      <c r="F68" s="17">
        <v>57.94</v>
      </c>
      <c r="G68" s="17">
        <f>12/12*C68</f>
        <v>92.53</v>
      </c>
      <c r="H68" s="9"/>
      <c r="I68" s="10"/>
      <c r="J68" s="10"/>
    </row>
    <row r="69" spans="1:10" x14ac:dyDescent="0.25">
      <c r="A69" s="21" t="s">
        <v>75</v>
      </c>
      <c r="B69" s="21"/>
      <c r="C69" s="17">
        <v>75.03</v>
      </c>
      <c r="D69" s="17">
        <v>81.27</v>
      </c>
      <c r="E69" s="17">
        <v>62.28</v>
      </c>
      <c r="F69" s="17">
        <v>66.599999999999994</v>
      </c>
      <c r="G69" s="17">
        <f>12/12*C69</f>
        <v>75.03</v>
      </c>
      <c r="H69" s="9"/>
      <c r="I69" s="10"/>
      <c r="J69" s="10"/>
    </row>
    <row r="70" spans="1:10" x14ac:dyDescent="0.25">
      <c r="A70" s="21" t="s">
        <v>76</v>
      </c>
      <c r="B70" s="21"/>
      <c r="C70" s="17">
        <v>310.29000000000002</v>
      </c>
      <c r="D70" s="17">
        <v>312.18</v>
      </c>
      <c r="E70" s="17">
        <v>300.02</v>
      </c>
      <c r="F70" s="17">
        <v>295.08</v>
      </c>
      <c r="G70" s="17">
        <f>12/12*C70</f>
        <v>310.29000000000002</v>
      </c>
      <c r="H70" s="9"/>
      <c r="I70" s="10"/>
      <c r="J70" s="10"/>
    </row>
    <row r="71" spans="1:10" x14ac:dyDescent="0.25">
      <c r="A71" s="21" t="s">
        <v>77</v>
      </c>
      <c r="B71" s="21"/>
      <c r="C71" s="17">
        <v>128.91999999999999</v>
      </c>
      <c r="D71" s="17">
        <v>118.59</v>
      </c>
      <c r="E71" s="17">
        <v>120.96</v>
      </c>
      <c r="F71" s="17">
        <v>83.12</v>
      </c>
      <c r="G71" s="17">
        <f>12/12*C71</f>
        <v>128.91999999999999</v>
      </c>
      <c r="H71" s="9"/>
      <c r="I71" s="10"/>
      <c r="J71" s="10"/>
    </row>
    <row r="72" spans="1:10" x14ac:dyDescent="0.25">
      <c r="C72" s="9"/>
      <c r="D72" s="9"/>
      <c r="E72" s="9"/>
      <c r="F72" s="9"/>
      <c r="G72" s="9"/>
      <c r="H72" s="9"/>
      <c r="I72" s="10"/>
      <c r="J72" s="10"/>
    </row>
    <row r="73" spans="1:10" x14ac:dyDescent="0.25">
      <c r="C73" s="9"/>
      <c r="D73" s="9"/>
      <c r="E73" s="9"/>
      <c r="F73" s="9"/>
      <c r="G73" s="9"/>
      <c r="H73" s="9"/>
      <c r="I73" s="10"/>
      <c r="J73" s="10"/>
    </row>
    <row r="74" spans="1:10" x14ac:dyDescent="0.25">
      <c r="A74" s="22" t="s">
        <v>61</v>
      </c>
      <c r="B74" s="23"/>
      <c r="C74" s="9"/>
      <c r="D74" s="9"/>
      <c r="E74" s="9"/>
      <c r="F74" s="9"/>
      <c r="G74" s="9"/>
      <c r="H74" s="9"/>
      <c r="I74" s="10"/>
      <c r="J74" s="10"/>
    </row>
    <row r="75" spans="1:10" x14ac:dyDescent="0.25">
      <c r="A75" s="3" t="s">
        <v>78</v>
      </c>
      <c r="B75" s="1" t="s">
        <v>205</v>
      </c>
      <c r="C75" s="9"/>
      <c r="D75" s="9"/>
      <c r="E75" s="9"/>
      <c r="F75" s="9"/>
      <c r="G75" s="9"/>
      <c r="H75" s="9"/>
      <c r="I75" s="10"/>
      <c r="J75" s="10"/>
    </row>
    <row r="76" spans="1:10" x14ac:dyDescent="0.25">
      <c r="A76" s="3" t="s">
        <v>71</v>
      </c>
      <c r="B76" s="1" t="s">
        <v>80</v>
      </c>
    </row>
    <row r="77" spans="1:10" x14ac:dyDescent="0.25">
      <c r="A77" s="3" t="s">
        <v>72</v>
      </c>
      <c r="B77" s="1" t="s">
        <v>81</v>
      </c>
    </row>
    <row r="78" spans="1:10" x14ac:dyDescent="0.25">
      <c r="A78" s="3" t="s">
        <v>73</v>
      </c>
      <c r="B78" s="1" t="s">
        <v>82</v>
      </c>
    </row>
  </sheetData>
  <mergeCells count="19">
    <mergeCell ref="C7:G7"/>
    <mergeCell ref="A47:B47"/>
    <mergeCell ref="A48:B48"/>
    <mergeCell ref="A53:B53"/>
    <mergeCell ref="A54:B54"/>
    <mergeCell ref="J62:J63"/>
    <mergeCell ref="A63:B63"/>
    <mergeCell ref="A67:B67"/>
    <mergeCell ref="A68:B68"/>
    <mergeCell ref="A55:B55"/>
    <mergeCell ref="A56:B56"/>
    <mergeCell ref="A61:B61"/>
    <mergeCell ref="A62:B62"/>
    <mergeCell ref="H62:H63"/>
    <mergeCell ref="A69:B69"/>
    <mergeCell ref="A70:B70"/>
    <mergeCell ref="A71:B71"/>
    <mergeCell ref="A74:B74"/>
    <mergeCell ref="I62:I63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J75"/>
  <sheetViews>
    <sheetView workbookViewId="0">
      <selection activeCell="H5" sqref="H5"/>
    </sheetView>
  </sheetViews>
  <sheetFormatPr defaultRowHeight="15" x14ac:dyDescent="0.25"/>
  <cols>
    <col min="1" max="1" width="28.42578125" bestFit="1" customWidth="1"/>
    <col min="2" max="2" width="59.5703125" bestFit="1" customWidth="1"/>
    <col min="3" max="3" width="12.7109375" bestFit="1" customWidth="1"/>
    <col min="4" max="4" width="28.28515625" bestFit="1" customWidth="1"/>
    <col min="5" max="5" width="13.85546875" bestFit="1" customWidth="1"/>
    <col min="6" max="6" width="8.5703125" bestFit="1" customWidth="1"/>
    <col min="7" max="7" width="47.7109375" bestFit="1" customWidth="1"/>
    <col min="8" max="9" width="16.7109375" bestFit="1" customWidth="1"/>
    <col min="10" max="10" width="24.42578125" bestFit="1" customWidth="1"/>
  </cols>
  <sheetData>
    <row r="2" spans="1:10" ht="18.75" x14ac:dyDescent="0.3">
      <c r="A2" s="3" t="s">
        <v>0</v>
      </c>
      <c r="B2" s="4" t="s">
        <v>206</v>
      </c>
    </row>
    <row r="3" spans="1:10" x14ac:dyDescent="0.25">
      <c r="A3" s="3" t="s">
        <v>2</v>
      </c>
      <c r="B3" s="1" t="s">
        <v>3</v>
      </c>
    </row>
    <row r="4" spans="1:10" x14ac:dyDescent="0.25">
      <c r="A4" s="3" t="s">
        <v>4</v>
      </c>
      <c r="B4" s="20">
        <v>6862</v>
      </c>
    </row>
    <row r="7" spans="1:10" x14ac:dyDescent="0.25">
      <c r="C7" s="22" t="s">
        <v>5</v>
      </c>
      <c r="D7" s="21"/>
      <c r="E7" s="21"/>
      <c r="F7" s="21"/>
      <c r="G7" s="21"/>
    </row>
    <row r="8" spans="1:10" x14ac:dyDescent="0.25">
      <c r="A8" s="3" t="s">
        <v>6</v>
      </c>
      <c r="B8" s="3" t="s">
        <v>7</v>
      </c>
      <c r="C8" s="15" t="s">
        <v>8</v>
      </c>
      <c r="D8" s="15" t="s">
        <v>9</v>
      </c>
      <c r="E8" s="15" t="s">
        <v>10</v>
      </c>
      <c r="F8" s="15" t="s">
        <v>11</v>
      </c>
      <c r="G8" s="15" t="s">
        <v>12</v>
      </c>
      <c r="H8" s="15" t="s">
        <v>13</v>
      </c>
      <c r="I8" s="15" t="s">
        <v>14</v>
      </c>
      <c r="J8" s="15" t="s">
        <v>15</v>
      </c>
    </row>
    <row r="9" spans="1:10" x14ac:dyDescent="0.25">
      <c r="A9" s="1" t="s">
        <v>16</v>
      </c>
      <c r="B9" s="1" t="s">
        <v>17</v>
      </c>
      <c r="C9" s="11"/>
      <c r="D9" s="11"/>
      <c r="E9" s="11">
        <v>20</v>
      </c>
      <c r="F9" s="11"/>
      <c r="G9" s="11">
        <f t="shared" ref="G9:G43" si="0">SUM(C9:F9)</f>
        <v>20</v>
      </c>
      <c r="H9" s="17">
        <f t="shared" ref="H9:H43" si="1">ROUND(G9/6862,2)</f>
        <v>0</v>
      </c>
      <c r="I9" s="16">
        <f t="shared" ref="I9:I43" si="2">ROUND(G9/$G$44,3)</f>
        <v>0</v>
      </c>
      <c r="J9" s="16">
        <f>ROUND(G9/228-1,2)</f>
        <v>-0.91</v>
      </c>
    </row>
    <row r="10" spans="1:10" x14ac:dyDescent="0.25">
      <c r="A10" s="1" t="s">
        <v>16</v>
      </c>
      <c r="B10" s="1" t="s">
        <v>19</v>
      </c>
      <c r="C10" s="11">
        <v>199970</v>
      </c>
      <c r="D10" s="11"/>
      <c r="E10" s="11">
        <v>13670</v>
      </c>
      <c r="F10" s="11">
        <v>270</v>
      </c>
      <c r="G10" s="11">
        <f t="shared" si="0"/>
        <v>213910</v>
      </c>
      <c r="H10" s="17">
        <f t="shared" si="1"/>
        <v>31.17</v>
      </c>
      <c r="I10" s="16">
        <f t="shared" si="2"/>
        <v>7.0999999999999994E-2</v>
      </c>
      <c r="J10" s="16">
        <f>ROUND(G10/214490-1,2)</f>
        <v>0</v>
      </c>
    </row>
    <row r="11" spans="1:10" x14ac:dyDescent="0.25">
      <c r="A11" s="1" t="s">
        <v>16</v>
      </c>
      <c r="B11" s="1" t="s">
        <v>20</v>
      </c>
      <c r="C11" s="11">
        <v>249060</v>
      </c>
      <c r="D11" s="11"/>
      <c r="E11" s="11"/>
      <c r="F11" s="11"/>
      <c r="G11" s="11">
        <f t="shared" si="0"/>
        <v>249060</v>
      </c>
      <c r="H11" s="17">
        <f t="shared" si="1"/>
        <v>36.299999999999997</v>
      </c>
      <c r="I11" s="16">
        <f t="shared" si="2"/>
        <v>8.2000000000000003E-2</v>
      </c>
      <c r="J11" s="16">
        <f>ROUND(G11/259430-1,2)</f>
        <v>-0.04</v>
      </c>
    </row>
    <row r="12" spans="1:10" x14ac:dyDescent="0.25">
      <c r="A12" s="1" t="s">
        <v>16</v>
      </c>
      <c r="B12" s="1" t="s">
        <v>87</v>
      </c>
      <c r="C12" s="11"/>
      <c r="D12" s="11"/>
      <c r="E12" s="11">
        <v>82</v>
      </c>
      <c r="F12" s="11"/>
      <c r="G12" s="11">
        <f t="shared" si="0"/>
        <v>82</v>
      </c>
      <c r="H12" s="17">
        <f t="shared" si="1"/>
        <v>0.01</v>
      </c>
      <c r="I12" s="16">
        <f t="shared" si="2"/>
        <v>0</v>
      </c>
      <c r="J12" s="16">
        <f>ROUND(G12/132-1,2)</f>
        <v>-0.38</v>
      </c>
    </row>
    <row r="13" spans="1:10" x14ac:dyDescent="0.25">
      <c r="A13" s="1" t="s">
        <v>16</v>
      </c>
      <c r="B13" s="1" t="s">
        <v>21</v>
      </c>
      <c r="C13" s="11"/>
      <c r="D13" s="11"/>
      <c r="E13" s="11">
        <v>419</v>
      </c>
      <c r="F13" s="11"/>
      <c r="G13" s="11">
        <f t="shared" si="0"/>
        <v>419</v>
      </c>
      <c r="H13" s="17">
        <f t="shared" si="1"/>
        <v>0.06</v>
      </c>
      <c r="I13" s="16">
        <f t="shared" si="2"/>
        <v>0</v>
      </c>
      <c r="J13" s="16">
        <f>ROUND(G13/339-1,2)</f>
        <v>0.24</v>
      </c>
    </row>
    <row r="14" spans="1:10" x14ac:dyDescent="0.25">
      <c r="A14" s="1" t="s">
        <v>16</v>
      </c>
      <c r="B14" s="1" t="s">
        <v>22</v>
      </c>
      <c r="C14" s="11"/>
      <c r="D14" s="11"/>
      <c r="E14" s="11">
        <v>3600</v>
      </c>
      <c r="F14" s="11"/>
      <c r="G14" s="11">
        <f t="shared" si="0"/>
        <v>3600</v>
      </c>
      <c r="H14" s="17">
        <f t="shared" si="1"/>
        <v>0.52</v>
      </c>
      <c r="I14" s="16">
        <f t="shared" si="2"/>
        <v>1E-3</v>
      </c>
      <c r="J14" s="16">
        <f>ROUND(G14/3460-1,2)</f>
        <v>0.04</v>
      </c>
    </row>
    <row r="15" spans="1:10" x14ac:dyDescent="0.25">
      <c r="A15" s="1" t="s">
        <v>16</v>
      </c>
      <c r="B15" s="1" t="s">
        <v>96</v>
      </c>
      <c r="C15" s="11"/>
      <c r="D15" s="11"/>
      <c r="E15" s="11"/>
      <c r="F15" s="11">
        <v>85</v>
      </c>
      <c r="G15" s="11">
        <f t="shared" si="0"/>
        <v>85</v>
      </c>
      <c r="H15" s="17">
        <f t="shared" si="1"/>
        <v>0.01</v>
      </c>
      <c r="I15" s="16">
        <f t="shared" si="2"/>
        <v>0</v>
      </c>
      <c r="J15" s="16">
        <f>ROUND(G15/43-1,2)</f>
        <v>0.98</v>
      </c>
    </row>
    <row r="16" spans="1:10" x14ac:dyDescent="0.25">
      <c r="A16" s="1" t="s">
        <v>16</v>
      </c>
      <c r="B16" s="1" t="s">
        <v>23</v>
      </c>
      <c r="C16" s="11"/>
      <c r="D16" s="11"/>
      <c r="E16" s="11">
        <v>218680</v>
      </c>
      <c r="F16" s="11"/>
      <c r="G16" s="11">
        <f t="shared" si="0"/>
        <v>218680</v>
      </c>
      <c r="H16" s="17">
        <f t="shared" si="1"/>
        <v>31.87</v>
      </c>
      <c r="I16" s="16">
        <f t="shared" si="2"/>
        <v>7.1999999999999995E-2</v>
      </c>
      <c r="J16" s="16">
        <f>ROUND(G16/280300-1,2)</f>
        <v>-0.22</v>
      </c>
    </row>
    <row r="17" spans="1:10" x14ac:dyDescent="0.25">
      <c r="A17" s="1" t="s">
        <v>16</v>
      </c>
      <c r="B17" s="1" t="s">
        <v>24</v>
      </c>
      <c r="C17" s="11">
        <v>279760</v>
      </c>
      <c r="D17" s="11"/>
      <c r="E17" s="11">
        <v>56640</v>
      </c>
      <c r="F17" s="11">
        <v>9040</v>
      </c>
      <c r="G17" s="11">
        <f t="shared" si="0"/>
        <v>345440</v>
      </c>
      <c r="H17" s="17">
        <f t="shared" si="1"/>
        <v>50.34</v>
      </c>
      <c r="I17" s="16">
        <f t="shared" si="2"/>
        <v>0.114</v>
      </c>
      <c r="J17" s="16">
        <f>ROUND(G17/368880-1,2)</f>
        <v>-0.06</v>
      </c>
    </row>
    <row r="18" spans="1:10" x14ac:dyDescent="0.25">
      <c r="A18" s="1" t="s">
        <v>16</v>
      </c>
      <c r="B18" s="1" t="s">
        <v>25</v>
      </c>
      <c r="C18" s="11"/>
      <c r="D18" s="11"/>
      <c r="E18" s="11">
        <v>9320</v>
      </c>
      <c r="F18" s="11"/>
      <c r="G18" s="11">
        <f t="shared" si="0"/>
        <v>9320</v>
      </c>
      <c r="H18" s="17">
        <f t="shared" si="1"/>
        <v>1.36</v>
      </c>
      <c r="I18" s="16">
        <f t="shared" si="2"/>
        <v>3.0000000000000001E-3</v>
      </c>
      <c r="J18" s="16">
        <f>ROUND(G18/13970-1,2)</f>
        <v>-0.33</v>
      </c>
    </row>
    <row r="19" spans="1:10" x14ac:dyDescent="0.25">
      <c r="A19" s="1" t="s">
        <v>16</v>
      </c>
      <c r="B19" s="1" t="s">
        <v>26</v>
      </c>
      <c r="C19" s="11">
        <v>446750</v>
      </c>
      <c r="D19" s="11"/>
      <c r="E19" s="11"/>
      <c r="F19" s="11">
        <v>1990</v>
      </c>
      <c r="G19" s="11">
        <f t="shared" si="0"/>
        <v>448740</v>
      </c>
      <c r="H19" s="17">
        <f t="shared" si="1"/>
        <v>65.39</v>
      </c>
      <c r="I19" s="16">
        <f t="shared" si="2"/>
        <v>0.14799999999999999</v>
      </c>
      <c r="J19" s="16">
        <f>ROUND(G19/429400-1,2)</f>
        <v>0.05</v>
      </c>
    </row>
    <row r="20" spans="1:10" x14ac:dyDescent="0.25">
      <c r="A20" s="1" t="s">
        <v>16</v>
      </c>
      <c r="B20" s="1" t="s">
        <v>27</v>
      </c>
      <c r="C20" s="11"/>
      <c r="D20" s="11"/>
      <c r="E20" s="11">
        <v>2216</v>
      </c>
      <c r="F20" s="11"/>
      <c r="G20" s="11">
        <f t="shared" si="0"/>
        <v>2216</v>
      </c>
      <c r="H20" s="17">
        <f t="shared" si="1"/>
        <v>0.32</v>
      </c>
      <c r="I20" s="16">
        <f t="shared" si="2"/>
        <v>1E-3</v>
      </c>
      <c r="J20" s="16">
        <f>ROUND(G20/7410-1,2)</f>
        <v>-0.7</v>
      </c>
    </row>
    <row r="21" spans="1:10" x14ac:dyDescent="0.25">
      <c r="A21" s="1" t="s">
        <v>16</v>
      </c>
      <c r="B21" s="1" t="s">
        <v>28</v>
      </c>
      <c r="C21" s="11"/>
      <c r="D21" s="11"/>
      <c r="E21" s="11">
        <v>1357</v>
      </c>
      <c r="F21" s="11"/>
      <c r="G21" s="11">
        <f t="shared" si="0"/>
        <v>1357</v>
      </c>
      <c r="H21" s="17">
        <f t="shared" si="1"/>
        <v>0.2</v>
      </c>
      <c r="I21" s="16">
        <f t="shared" si="2"/>
        <v>0</v>
      </c>
      <c r="J21" s="16">
        <f>ROUND(G21/1400-1,2)</f>
        <v>-0.03</v>
      </c>
    </row>
    <row r="22" spans="1:10" x14ac:dyDescent="0.25">
      <c r="A22" s="1" t="s">
        <v>16</v>
      </c>
      <c r="B22" s="1" t="s">
        <v>29</v>
      </c>
      <c r="C22" s="11"/>
      <c r="D22" s="11"/>
      <c r="E22" s="11">
        <v>348</v>
      </c>
      <c r="F22" s="11"/>
      <c r="G22" s="11">
        <f t="shared" si="0"/>
        <v>348</v>
      </c>
      <c r="H22" s="17">
        <f t="shared" si="1"/>
        <v>0.05</v>
      </c>
      <c r="I22" s="16">
        <f t="shared" si="2"/>
        <v>0</v>
      </c>
      <c r="J22" s="16">
        <f>ROUND(G22/871-1,2)</f>
        <v>-0.6</v>
      </c>
    </row>
    <row r="23" spans="1:10" x14ac:dyDescent="0.25">
      <c r="A23" s="1" t="s">
        <v>16</v>
      </c>
      <c r="B23" s="1" t="s">
        <v>30</v>
      </c>
      <c r="C23" s="11"/>
      <c r="D23" s="11"/>
      <c r="E23" s="11">
        <v>14140</v>
      </c>
      <c r="F23" s="11"/>
      <c r="G23" s="11">
        <f t="shared" si="0"/>
        <v>14140</v>
      </c>
      <c r="H23" s="17">
        <f t="shared" si="1"/>
        <v>2.06</v>
      </c>
      <c r="I23" s="16">
        <f t="shared" si="2"/>
        <v>5.0000000000000001E-3</v>
      </c>
      <c r="J23" s="16">
        <f>ROUND(G23/18150-1,2)</f>
        <v>-0.22</v>
      </c>
    </row>
    <row r="24" spans="1:10" x14ac:dyDescent="0.25">
      <c r="A24" s="1" t="s">
        <v>16</v>
      </c>
      <c r="B24" s="1" t="s">
        <v>31</v>
      </c>
      <c r="C24" s="11"/>
      <c r="D24" s="11"/>
      <c r="E24" s="11">
        <v>2970</v>
      </c>
      <c r="F24" s="11"/>
      <c r="G24" s="11">
        <f t="shared" si="0"/>
        <v>2970</v>
      </c>
      <c r="H24" s="17">
        <f t="shared" si="1"/>
        <v>0.43</v>
      </c>
      <c r="I24" s="16">
        <f t="shared" si="2"/>
        <v>1E-3</v>
      </c>
      <c r="J24" s="16">
        <f>ROUND(G24/3190-1,2)</f>
        <v>-7.0000000000000007E-2</v>
      </c>
    </row>
    <row r="25" spans="1:10" x14ac:dyDescent="0.25">
      <c r="A25" s="1" t="s">
        <v>16</v>
      </c>
      <c r="B25" s="1" t="s">
        <v>32</v>
      </c>
      <c r="C25" s="11"/>
      <c r="D25" s="11"/>
      <c r="E25" s="11">
        <v>660</v>
      </c>
      <c r="F25" s="11"/>
      <c r="G25" s="11">
        <f t="shared" si="0"/>
        <v>660</v>
      </c>
      <c r="H25" s="17">
        <f t="shared" si="1"/>
        <v>0.1</v>
      </c>
      <c r="I25" s="16">
        <f t="shared" si="2"/>
        <v>0</v>
      </c>
      <c r="J25" s="16">
        <f>ROUND(G25/1370-1,2)</f>
        <v>-0.52</v>
      </c>
    </row>
    <row r="26" spans="1:10" x14ac:dyDescent="0.25">
      <c r="A26" s="1" t="s">
        <v>16</v>
      </c>
      <c r="B26" s="1" t="s">
        <v>33</v>
      </c>
      <c r="C26" s="11"/>
      <c r="D26" s="11"/>
      <c r="E26" s="11">
        <v>4197</v>
      </c>
      <c r="F26" s="11"/>
      <c r="G26" s="11">
        <f t="shared" si="0"/>
        <v>4197</v>
      </c>
      <c r="H26" s="17">
        <f t="shared" si="1"/>
        <v>0.61</v>
      </c>
      <c r="I26" s="16">
        <f t="shared" si="2"/>
        <v>1E-3</v>
      </c>
      <c r="J26" s="16">
        <f>ROUND(G26/3640-1,2)</f>
        <v>0.15</v>
      </c>
    </row>
    <row r="27" spans="1:10" x14ac:dyDescent="0.25">
      <c r="A27" s="1" t="s">
        <v>16</v>
      </c>
      <c r="B27" s="1" t="s">
        <v>34</v>
      </c>
      <c r="C27" s="11"/>
      <c r="D27" s="11">
        <v>159</v>
      </c>
      <c r="E27" s="11">
        <v>483</v>
      </c>
      <c r="F27" s="11"/>
      <c r="G27" s="11">
        <f t="shared" si="0"/>
        <v>642</v>
      </c>
      <c r="H27" s="17">
        <f t="shared" si="1"/>
        <v>0.09</v>
      </c>
      <c r="I27" s="16">
        <f t="shared" si="2"/>
        <v>0</v>
      </c>
      <c r="J27" s="16">
        <f>ROUND(G27/633-1,2)</f>
        <v>0.01</v>
      </c>
    </row>
    <row r="28" spans="1:10" x14ac:dyDescent="0.25">
      <c r="A28" s="1" t="s">
        <v>16</v>
      </c>
      <c r="B28" s="1" t="s">
        <v>35</v>
      </c>
      <c r="C28" s="11"/>
      <c r="D28" s="11"/>
      <c r="E28" s="11">
        <v>1967</v>
      </c>
      <c r="F28" s="11"/>
      <c r="G28" s="11">
        <f t="shared" si="0"/>
        <v>1967</v>
      </c>
      <c r="H28" s="17">
        <f t="shared" si="1"/>
        <v>0.28999999999999998</v>
      </c>
      <c r="I28" s="16">
        <f t="shared" si="2"/>
        <v>1E-3</v>
      </c>
      <c r="J28" s="16"/>
    </row>
    <row r="29" spans="1:10" x14ac:dyDescent="0.25">
      <c r="A29" s="1" t="s">
        <v>16</v>
      </c>
      <c r="B29" s="1" t="s">
        <v>36</v>
      </c>
      <c r="C29" s="11"/>
      <c r="D29" s="11"/>
      <c r="E29" s="11">
        <v>768</v>
      </c>
      <c r="F29" s="11"/>
      <c r="G29" s="11">
        <f t="shared" si="0"/>
        <v>768</v>
      </c>
      <c r="H29" s="17">
        <f t="shared" si="1"/>
        <v>0.11</v>
      </c>
      <c r="I29" s="16">
        <f t="shared" si="2"/>
        <v>0</v>
      </c>
      <c r="J29" s="16">
        <f>ROUND(G29/1230-1,2)</f>
        <v>-0.38</v>
      </c>
    </row>
    <row r="30" spans="1:10" x14ac:dyDescent="0.25">
      <c r="A30" s="1" t="s">
        <v>16</v>
      </c>
      <c r="B30" s="1" t="s">
        <v>37</v>
      </c>
      <c r="C30" s="11"/>
      <c r="D30" s="11"/>
      <c r="E30" s="11">
        <v>6410</v>
      </c>
      <c r="F30" s="11"/>
      <c r="G30" s="11">
        <f t="shared" si="0"/>
        <v>6410</v>
      </c>
      <c r="H30" s="17">
        <f t="shared" si="1"/>
        <v>0.93</v>
      </c>
      <c r="I30" s="16">
        <f t="shared" si="2"/>
        <v>2E-3</v>
      </c>
      <c r="J30" s="16">
        <f>ROUND(G30/6630-1,2)</f>
        <v>-0.03</v>
      </c>
    </row>
    <row r="31" spans="1:10" x14ac:dyDescent="0.25">
      <c r="A31" s="1" t="s">
        <v>16</v>
      </c>
      <c r="B31" s="1" t="s">
        <v>38</v>
      </c>
      <c r="C31" s="11"/>
      <c r="D31" s="11"/>
      <c r="E31" s="11">
        <v>20150</v>
      </c>
      <c r="F31" s="11"/>
      <c r="G31" s="11">
        <f t="shared" si="0"/>
        <v>20150</v>
      </c>
      <c r="H31" s="17">
        <f t="shared" si="1"/>
        <v>2.94</v>
      </c>
      <c r="I31" s="16">
        <f t="shared" si="2"/>
        <v>7.0000000000000001E-3</v>
      </c>
      <c r="J31" s="16">
        <f>ROUND(G31/20229-1,2)</f>
        <v>0</v>
      </c>
    </row>
    <row r="32" spans="1:10" x14ac:dyDescent="0.25">
      <c r="A32" s="1" t="s">
        <v>16</v>
      </c>
      <c r="B32" s="1" t="s">
        <v>39</v>
      </c>
      <c r="C32" s="11"/>
      <c r="D32" s="11"/>
      <c r="E32" s="11">
        <v>31312</v>
      </c>
      <c r="F32" s="11"/>
      <c r="G32" s="11">
        <f t="shared" si="0"/>
        <v>31312</v>
      </c>
      <c r="H32" s="17">
        <f t="shared" si="1"/>
        <v>4.5599999999999996</v>
      </c>
      <c r="I32" s="16">
        <f t="shared" si="2"/>
        <v>0.01</v>
      </c>
      <c r="J32" s="16">
        <f>ROUND(G32/24871-1,2)</f>
        <v>0.26</v>
      </c>
    </row>
    <row r="33" spans="1:10" x14ac:dyDescent="0.25">
      <c r="A33" s="1" t="s">
        <v>16</v>
      </c>
      <c r="B33" s="1" t="s">
        <v>40</v>
      </c>
      <c r="C33" s="11"/>
      <c r="D33" s="11"/>
      <c r="E33" s="11">
        <v>214940</v>
      </c>
      <c r="F33" s="11"/>
      <c r="G33" s="11">
        <f t="shared" si="0"/>
        <v>214940</v>
      </c>
      <c r="H33" s="17">
        <f t="shared" si="1"/>
        <v>31.32</v>
      </c>
      <c r="I33" s="16">
        <f t="shared" si="2"/>
        <v>7.0999999999999994E-2</v>
      </c>
      <c r="J33" s="16">
        <f>ROUND(G33/231790-1,2)</f>
        <v>-7.0000000000000007E-2</v>
      </c>
    </row>
    <row r="34" spans="1:10" x14ac:dyDescent="0.25">
      <c r="A34" s="1" t="s">
        <v>16</v>
      </c>
      <c r="B34" s="1" t="s">
        <v>41</v>
      </c>
      <c r="C34" s="11"/>
      <c r="D34" s="11"/>
      <c r="E34" s="11">
        <v>12720</v>
      </c>
      <c r="F34" s="11"/>
      <c r="G34" s="11">
        <f t="shared" si="0"/>
        <v>12720</v>
      </c>
      <c r="H34" s="17">
        <f t="shared" si="1"/>
        <v>1.85</v>
      </c>
      <c r="I34" s="16">
        <f t="shared" si="2"/>
        <v>4.0000000000000001E-3</v>
      </c>
      <c r="J34" s="16">
        <f>ROUND(G34/10500-1,2)</f>
        <v>0.21</v>
      </c>
    </row>
    <row r="35" spans="1:10" x14ac:dyDescent="0.25">
      <c r="A35" s="1" t="s">
        <v>16</v>
      </c>
      <c r="B35" s="1" t="s">
        <v>42</v>
      </c>
      <c r="C35" s="11"/>
      <c r="D35" s="11"/>
      <c r="E35" s="11">
        <v>50940</v>
      </c>
      <c r="F35" s="11"/>
      <c r="G35" s="11">
        <f t="shared" si="0"/>
        <v>50940</v>
      </c>
      <c r="H35" s="17">
        <f t="shared" si="1"/>
        <v>7.42</v>
      </c>
      <c r="I35" s="16">
        <f t="shared" si="2"/>
        <v>1.7000000000000001E-2</v>
      </c>
      <c r="J35" s="16">
        <f>ROUND(G35/52740-1,2)</f>
        <v>-0.03</v>
      </c>
    </row>
    <row r="36" spans="1:10" x14ac:dyDescent="0.25">
      <c r="A36" s="1" t="s">
        <v>16</v>
      </c>
      <c r="B36" s="1" t="s">
        <v>44</v>
      </c>
      <c r="C36" s="11"/>
      <c r="D36" s="11"/>
      <c r="E36" s="11">
        <v>492005</v>
      </c>
      <c r="F36" s="11"/>
      <c r="G36" s="11">
        <f t="shared" si="0"/>
        <v>492005</v>
      </c>
      <c r="H36" s="17">
        <f t="shared" si="1"/>
        <v>71.7</v>
      </c>
      <c r="I36" s="16">
        <f t="shared" si="2"/>
        <v>0.16200000000000001</v>
      </c>
      <c r="J36" s="16">
        <f>ROUND(G36/431980-1,2)</f>
        <v>0.14000000000000001</v>
      </c>
    </row>
    <row r="37" spans="1:10" x14ac:dyDescent="0.25">
      <c r="A37" s="1" t="s">
        <v>45</v>
      </c>
      <c r="B37" s="1" t="s">
        <v>46</v>
      </c>
      <c r="C37" s="11">
        <v>412530</v>
      </c>
      <c r="D37" s="11"/>
      <c r="E37" s="11"/>
      <c r="F37" s="11"/>
      <c r="G37" s="11">
        <f t="shared" si="0"/>
        <v>412530</v>
      </c>
      <c r="H37" s="17">
        <f t="shared" si="1"/>
        <v>60.12</v>
      </c>
      <c r="I37" s="16">
        <f t="shared" si="2"/>
        <v>0.13600000000000001</v>
      </c>
      <c r="J37" s="16">
        <f>ROUND(G37/456030-1,2)</f>
        <v>-0.1</v>
      </c>
    </row>
    <row r="38" spans="1:10" x14ac:dyDescent="0.25">
      <c r="A38" s="1" t="s">
        <v>45</v>
      </c>
      <c r="B38" s="1" t="s">
        <v>48</v>
      </c>
      <c r="C38" s="11"/>
      <c r="D38" s="11"/>
      <c r="E38" s="11"/>
      <c r="F38" s="11">
        <v>67720</v>
      </c>
      <c r="G38" s="11">
        <f t="shared" si="0"/>
        <v>67720</v>
      </c>
      <c r="H38" s="17">
        <f t="shared" si="1"/>
        <v>9.8699999999999992</v>
      </c>
      <c r="I38" s="16">
        <f t="shared" si="2"/>
        <v>2.1999999999999999E-2</v>
      </c>
      <c r="J38" s="16">
        <f>ROUND(G38/64760-1,2)</f>
        <v>0.05</v>
      </c>
    </row>
    <row r="39" spans="1:10" x14ac:dyDescent="0.25">
      <c r="A39" s="1" t="s">
        <v>45</v>
      </c>
      <c r="B39" s="1" t="s">
        <v>47</v>
      </c>
      <c r="C39" s="11"/>
      <c r="D39" s="11"/>
      <c r="E39" s="11">
        <v>202750</v>
      </c>
      <c r="F39" s="11"/>
      <c r="G39" s="11">
        <f t="shared" si="0"/>
        <v>202750</v>
      </c>
      <c r="H39" s="17">
        <f t="shared" si="1"/>
        <v>29.55</v>
      </c>
      <c r="I39" s="16">
        <f t="shared" si="2"/>
        <v>6.7000000000000004E-2</v>
      </c>
      <c r="J39" s="16">
        <f>ROUND(G39/177370-1,2)</f>
        <v>0.14000000000000001</v>
      </c>
    </row>
    <row r="40" spans="1:10" x14ac:dyDescent="0.25">
      <c r="A40" s="1" t="s">
        <v>49</v>
      </c>
      <c r="B40" s="1" t="s">
        <v>52</v>
      </c>
      <c r="C40" s="11"/>
      <c r="D40" s="11"/>
      <c r="E40" s="11"/>
      <c r="F40" s="11"/>
      <c r="G40" s="11">
        <f t="shared" si="0"/>
        <v>0</v>
      </c>
      <c r="H40" s="17">
        <f t="shared" si="1"/>
        <v>0</v>
      </c>
      <c r="I40" s="16">
        <f t="shared" si="2"/>
        <v>0</v>
      </c>
      <c r="J40" s="16">
        <f>ROUND(G40/16-1,2)</f>
        <v>-1</v>
      </c>
    </row>
    <row r="41" spans="1:10" x14ac:dyDescent="0.25">
      <c r="A41" s="1" t="s">
        <v>49</v>
      </c>
      <c r="B41" s="1" t="s">
        <v>50</v>
      </c>
      <c r="C41" s="11"/>
      <c r="D41" s="11"/>
      <c r="E41" s="11"/>
      <c r="F41" s="11"/>
      <c r="G41" s="11">
        <f t="shared" si="0"/>
        <v>0</v>
      </c>
      <c r="H41" s="17">
        <f t="shared" si="1"/>
        <v>0</v>
      </c>
      <c r="I41" s="16">
        <f t="shared" si="2"/>
        <v>0</v>
      </c>
      <c r="J41" s="16"/>
    </row>
    <row r="42" spans="1:10" x14ac:dyDescent="0.25">
      <c r="A42" s="1" t="s">
        <v>49</v>
      </c>
      <c r="B42" s="1" t="s">
        <v>51</v>
      </c>
      <c r="C42" s="11"/>
      <c r="D42" s="11"/>
      <c r="E42" s="11"/>
      <c r="F42" s="11"/>
      <c r="G42" s="11">
        <f t="shared" si="0"/>
        <v>0</v>
      </c>
      <c r="H42" s="17">
        <f t="shared" si="1"/>
        <v>0</v>
      </c>
      <c r="I42" s="16">
        <f t="shared" si="2"/>
        <v>0</v>
      </c>
      <c r="J42" s="16">
        <f>ROUND(G42/173-1,2)</f>
        <v>-1</v>
      </c>
    </row>
    <row r="43" spans="1:10" x14ac:dyDescent="0.25">
      <c r="A43" s="1" t="s">
        <v>49</v>
      </c>
      <c r="B43" s="1" t="s">
        <v>88</v>
      </c>
      <c r="C43" s="11"/>
      <c r="D43" s="11"/>
      <c r="E43" s="11"/>
      <c r="F43" s="11"/>
      <c r="G43" s="11">
        <f t="shared" si="0"/>
        <v>0</v>
      </c>
      <c r="H43" s="17">
        <f t="shared" si="1"/>
        <v>0</v>
      </c>
      <c r="I43" s="16">
        <f t="shared" si="2"/>
        <v>0</v>
      </c>
      <c r="J43" s="16"/>
    </row>
    <row r="44" spans="1:10" x14ac:dyDescent="0.25">
      <c r="A44" s="26" t="s">
        <v>12</v>
      </c>
      <c r="B44" s="26"/>
      <c r="C44" s="12">
        <f t="shared" ref="C44:H44" si="3">SUM(C8:C43)</f>
        <v>1588070</v>
      </c>
      <c r="D44" s="12">
        <f t="shared" si="3"/>
        <v>159</v>
      </c>
      <c r="E44" s="12">
        <f t="shared" si="3"/>
        <v>1362764</v>
      </c>
      <c r="F44" s="12">
        <f t="shared" si="3"/>
        <v>79105</v>
      </c>
      <c r="G44" s="12">
        <f t="shared" si="3"/>
        <v>3030098</v>
      </c>
      <c r="H44" s="15">
        <f t="shared" si="3"/>
        <v>441.55000000000013</v>
      </c>
      <c r="I44" s="18"/>
      <c r="J44" s="18"/>
    </row>
    <row r="45" spans="1:10" x14ac:dyDescent="0.25">
      <c r="A45" s="26" t="s">
        <v>14</v>
      </c>
      <c r="B45" s="26"/>
      <c r="C45" s="13">
        <f>ROUND(C44/G44,2)</f>
        <v>0.52</v>
      </c>
      <c r="D45" s="13">
        <f>ROUND(D44/G44,2)</f>
        <v>0</v>
      </c>
      <c r="E45" s="13">
        <f>ROUND(E44/G44,2)</f>
        <v>0.45</v>
      </c>
      <c r="F45" s="13">
        <f>ROUND(F44/G44,2)</f>
        <v>0.03</v>
      </c>
      <c r="G45" s="14"/>
      <c r="H45" s="14"/>
      <c r="I45" s="18"/>
      <c r="J45" s="18"/>
    </row>
    <row r="46" spans="1:10" x14ac:dyDescent="0.25">
      <c r="A46" s="2" t="s">
        <v>53</v>
      </c>
      <c r="B46" s="2"/>
      <c r="C46" s="14"/>
      <c r="D46" s="14"/>
      <c r="E46" s="14"/>
      <c r="F46" s="14"/>
      <c r="G46" s="14"/>
      <c r="H46" s="14"/>
      <c r="I46" s="18"/>
      <c r="J46" s="18"/>
    </row>
    <row r="47" spans="1:10" x14ac:dyDescent="0.25">
      <c r="C47" s="9"/>
      <c r="D47" s="9"/>
      <c r="E47" s="9"/>
      <c r="F47" s="9"/>
      <c r="G47" s="9"/>
      <c r="H47" s="9"/>
      <c r="I47" s="10"/>
      <c r="J47" s="10"/>
    </row>
    <row r="48" spans="1:10" x14ac:dyDescent="0.25">
      <c r="C48" s="9"/>
      <c r="D48" s="9"/>
      <c r="E48" s="9"/>
      <c r="F48" s="9"/>
      <c r="G48" s="9"/>
      <c r="H48" s="9"/>
      <c r="I48" s="10"/>
      <c r="J48" s="10"/>
    </row>
    <row r="49" spans="1:10" x14ac:dyDescent="0.25">
      <c r="C49" s="9"/>
      <c r="D49" s="9"/>
      <c r="E49" s="9"/>
      <c r="F49" s="9"/>
      <c r="G49" s="9"/>
      <c r="H49" s="9"/>
      <c r="I49" s="10"/>
      <c r="J49" s="10"/>
    </row>
    <row r="50" spans="1:10" x14ac:dyDescent="0.25">
      <c r="A50" s="26" t="s">
        <v>54</v>
      </c>
      <c r="B50" s="26"/>
      <c r="C50" s="12" t="s">
        <v>8</v>
      </c>
      <c r="D50" s="12" t="s">
        <v>9</v>
      </c>
      <c r="E50" s="12" t="s">
        <v>10</v>
      </c>
      <c r="F50" s="12" t="s">
        <v>11</v>
      </c>
      <c r="G50" s="12" t="s">
        <v>12</v>
      </c>
      <c r="H50" s="15" t="s">
        <v>13</v>
      </c>
      <c r="I50" s="18"/>
      <c r="J50" s="18"/>
    </row>
    <row r="51" spans="1:10" x14ac:dyDescent="0.25">
      <c r="A51" s="21" t="s">
        <v>55</v>
      </c>
      <c r="B51" s="21"/>
      <c r="C51" s="11">
        <v>1175540</v>
      </c>
      <c r="D51" s="11">
        <v>159</v>
      </c>
      <c r="E51" s="11">
        <v>1160014</v>
      </c>
      <c r="F51" s="11">
        <v>11385</v>
      </c>
      <c r="G51" s="11">
        <f>SUM(C51:F51)</f>
        <v>2347098</v>
      </c>
      <c r="H51" s="17">
        <f>ROUND(G51/6862,2)</f>
        <v>342.04</v>
      </c>
      <c r="I51" s="10"/>
      <c r="J51" s="10"/>
    </row>
    <row r="52" spans="1:10" x14ac:dyDescent="0.25">
      <c r="A52" s="21" t="s">
        <v>56</v>
      </c>
      <c r="B52" s="21"/>
      <c r="C52" s="11">
        <v>412530</v>
      </c>
      <c r="D52" s="11">
        <v>0</v>
      </c>
      <c r="E52" s="11">
        <v>202750</v>
      </c>
      <c r="F52" s="11">
        <v>67720</v>
      </c>
      <c r="G52" s="11">
        <f>SUM(C52:F52)</f>
        <v>683000</v>
      </c>
      <c r="H52" s="17">
        <f>ROUND(G52/6862,2)</f>
        <v>99.53</v>
      </c>
      <c r="I52" s="10"/>
      <c r="J52" s="10"/>
    </row>
    <row r="53" spans="1:10" x14ac:dyDescent="0.25">
      <c r="A53" s="21" t="s">
        <v>57</v>
      </c>
      <c r="B53" s="21"/>
      <c r="C53" s="11">
        <v>0</v>
      </c>
      <c r="D53" s="11">
        <v>0</v>
      </c>
      <c r="E53" s="11">
        <v>0</v>
      </c>
      <c r="F53" s="11">
        <v>0</v>
      </c>
      <c r="G53" s="11">
        <f>SUM(C53:F53)</f>
        <v>0</v>
      </c>
      <c r="H53" s="17">
        <f>ROUND(G53/6862,2)</f>
        <v>0</v>
      </c>
      <c r="I53" s="10"/>
      <c r="J53" s="10"/>
    </row>
    <row r="54" spans="1:10" x14ac:dyDescent="0.25">
      <c r="C54" s="9"/>
      <c r="D54" s="9"/>
      <c r="E54" s="9"/>
      <c r="F54" s="9"/>
      <c r="G54" s="9"/>
      <c r="H54" s="9"/>
      <c r="I54" s="10"/>
      <c r="J54" s="10"/>
    </row>
    <row r="55" spans="1:10" x14ac:dyDescent="0.25">
      <c r="C55" s="9"/>
      <c r="D55" s="9"/>
      <c r="E55" s="9"/>
      <c r="F55" s="9"/>
      <c r="G55" s="9"/>
      <c r="H55" s="9"/>
      <c r="I55" s="10"/>
      <c r="J55" s="10"/>
    </row>
    <row r="56" spans="1:10" x14ac:dyDescent="0.25">
      <c r="C56" s="9"/>
      <c r="D56" s="9"/>
      <c r="E56" s="9"/>
      <c r="F56" s="9"/>
      <c r="G56" s="9"/>
      <c r="H56" s="9"/>
      <c r="I56" s="10"/>
      <c r="J56" s="10"/>
    </row>
    <row r="57" spans="1:10" x14ac:dyDescent="0.25">
      <c r="C57" s="9"/>
      <c r="D57" s="9"/>
      <c r="E57" s="9"/>
      <c r="F57" s="9"/>
      <c r="G57" s="9"/>
      <c r="H57" s="9"/>
      <c r="I57" s="10"/>
      <c r="J57" s="10"/>
    </row>
    <row r="58" spans="1:10" x14ac:dyDescent="0.25">
      <c r="A58" s="26" t="s">
        <v>58</v>
      </c>
      <c r="B58" s="26"/>
      <c r="C58" s="15" t="s">
        <v>2</v>
      </c>
      <c r="D58" s="15">
        <v>2024</v>
      </c>
      <c r="E58" s="15" t="s">
        <v>60</v>
      </c>
      <c r="F58" s="14"/>
      <c r="G58" s="15" t="s">
        <v>61</v>
      </c>
      <c r="H58" s="15" t="s">
        <v>2</v>
      </c>
      <c r="I58" s="13" t="s">
        <v>62</v>
      </c>
      <c r="J58" s="13" t="s">
        <v>60</v>
      </c>
    </row>
    <row r="59" spans="1:10" x14ac:dyDescent="0.25">
      <c r="A59" s="21" t="s">
        <v>59</v>
      </c>
      <c r="B59" s="21"/>
      <c r="C59" s="16">
        <f>ROUND(0.8531, 4)</f>
        <v>0.85309999999999997</v>
      </c>
      <c r="D59" s="16">
        <f>ROUND(0.8314, 4)</f>
        <v>0.83140000000000003</v>
      </c>
      <c r="E59" s="16">
        <f>ROUND(0.7856, 4)</f>
        <v>0.78559999999999997</v>
      </c>
      <c r="F59" s="9"/>
      <c r="G59" s="15" t="s">
        <v>63</v>
      </c>
      <c r="H59" s="27" t="s">
        <v>64</v>
      </c>
      <c r="I59" s="24" t="s">
        <v>65</v>
      </c>
      <c r="J59" s="24" t="s">
        <v>66</v>
      </c>
    </row>
    <row r="60" spans="1:10" x14ac:dyDescent="0.25">
      <c r="A60" s="21" t="s">
        <v>67</v>
      </c>
      <c r="B60" s="21"/>
      <c r="C60" s="16">
        <f>ROUND(0.8531, 4)</f>
        <v>0.85309999999999997</v>
      </c>
      <c r="D60" s="16">
        <f>ROUND(0.8216, 4)</f>
        <v>0.8216</v>
      </c>
      <c r="E60" s="16">
        <f>ROUND(0.7702, 4)</f>
        <v>0.7702</v>
      </c>
      <c r="F60" s="9"/>
      <c r="G60" s="15" t="s">
        <v>68</v>
      </c>
      <c r="H60" s="28"/>
      <c r="I60" s="25"/>
      <c r="J60" s="25"/>
    </row>
    <row r="61" spans="1:10" x14ac:dyDescent="0.25">
      <c r="C61" s="9"/>
      <c r="D61" s="9"/>
      <c r="E61" s="9"/>
      <c r="F61" s="9"/>
      <c r="G61" s="9"/>
      <c r="H61" s="9"/>
      <c r="I61" s="10"/>
      <c r="J61" s="10"/>
    </row>
    <row r="62" spans="1:10" x14ac:dyDescent="0.25">
      <c r="C62" s="9"/>
      <c r="D62" s="9"/>
      <c r="E62" s="9"/>
      <c r="F62" s="9"/>
      <c r="G62" s="9"/>
      <c r="H62" s="9"/>
      <c r="I62" s="10"/>
      <c r="J62" s="10"/>
    </row>
    <row r="63" spans="1:10" x14ac:dyDescent="0.25">
      <c r="C63" s="9"/>
      <c r="D63" s="9"/>
      <c r="E63" s="9"/>
      <c r="F63" s="9"/>
      <c r="G63" s="9"/>
      <c r="H63" s="9"/>
      <c r="I63" s="10"/>
      <c r="J63" s="10"/>
    </row>
    <row r="64" spans="1:10" x14ac:dyDescent="0.25">
      <c r="A64" s="26" t="s">
        <v>69</v>
      </c>
      <c r="B64" s="26"/>
      <c r="C64" s="15" t="s">
        <v>2</v>
      </c>
      <c r="D64" s="15" t="s">
        <v>207</v>
      </c>
      <c r="E64" s="15" t="s">
        <v>71</v>
      </c>
      <c r="F64" s="15" t="s">
        <v>72</v>
      </c>
      <c r="G64" s="15" t="s">
        <v>73</v>
      </c>
      <c r="H64" s="14"/>
      <c r="I64" s="18"/>
      <c r="J64" s="18"/>
    </row>
    <row r="65" spans="1:10" x14ac:dyDescent="0.25">
      <c r="A65" s="21" t="s">
        <v>74</v>
      </c>
      <c r="B65" s="21"/>
      <c r="C65" s="17">
        <v>60.12</v>
      </c>
      <c r="D65" s="17">
        <v>63.48</v>
      </c>
      <c r="E65" s="17">
        <v>96.15</v>
      </c>
      <c r="F65" s="17">
        <v>57.94</v>
      </c>
      <c r="G65" s="17">
        <f>12/12*C65</f>
        <v>60.12</v>
      </c>
      <c r="H65" s="9"/>
      <c r="I65" s="10"/>
      <c r="J65" s="10"/>
    </row>
    <row r="66" spans="1:10" x14ac:dyDescent="0.25">
      <c r="A66" s="21" t="s">
        <v>75</v>
      </c>
      <c r="B66" s="21"/>
      <c r="C66" s="17">
        <v>65.39</v>
      </c>
      <c r="D66" s="17">
        <v>62.93</v>
      </c>
      <c r="E66" s="17">
        <v>62.28</v>
      </c>
      <c r="F66" s="17">
        <v>66.599999999999994</v>
      </c>
      <c r="G66" s="17">
        <f>12/12*C66</f>
        <v>65.39</v>
      </c>
      <c r="H66" s="9"/>
      <c r="I66" s="10"/>
      <c r="J66" s="10"/>
    </row>
    <row r="67" spans="1:10" x14ac:dyDescent="0.25">
      <c r="A67" s="21" t="s">
        <v>76</v>
      </c>
      <c r="B67" s="21"/>
      <c r="C67" s="17">
        <v>342.04</v>
      </c>
      <c r="D67" s="17">
        <v>315.77999999999997</v>
      </c>
      <c r="E67" s="17">
        <v>300.02</v>
      </c>
      <c r="F67" s="17">
        <v>295.08</v>
      </c>
      <c r="G67" s="17">
        <f>12/12*C67</f>
        <v>342.04</v>
      </c>
      <c r="H67" s="9"/>
      <c r="I67" s="10"/>
      <c r="J67" s="10"/>
    </row>
    <row r="68" spans="1:10" x14ac:dyDescent="0.25">
      <c r="A68" s="21" t="s">
        <v>77</v>
      </c>
      <c r="B68" s="21"/>
      <c r="C68" s="17">
        <v>99.53</v>
      </c>
      <c r="D68" s="17">
        <v>96.01</v>
      </c>
      <c r="E68" s="17">
        <v>120.96</v>
      </c>
      <c r="F68" s="17">
        <v>83.12</v>
      </c>
      <c r="G68" s="17">
        <f>12/12*C68</f>
        <v>99.53</v>
      </c>
      <c r="H68" s="9"/>
      <c r="I68" s="10"/>
      <c r="J68" s="10"/>
    </row>
    <row r="69" spans="1:10" x14ac:dyDescent="0.25">
      <c r="C69" s="9"/>
      <c r="D69" s="9"/>
      <c r="E69" s="9"/>
      <c r="F69" s="9"/>
      <c r="G69" s="9"/>
      <c r="H69" s="9"/>
      <c r="I69" s="10"/>
      <c r="J69" s="10"/>
    </row>
    <row r="70" spans="1:10" x14ac:dyDescent="0.25">
      <c r="C70" s="9"/>
      <c r="D70" s="9"/>
      <c r="E70" s="9"/>
      <c r="F70" s="9"/>
      <c r="G70" s="9"/>
      <c r="H70" s="9"/>
      <c r="I70" s="10"/>
      <c r="J70" s="10"/>
    </row>
    <row r="71" spans="1:10" x14ac:dyDescent="0.25">
      <c r="A71" s="22" t="s">
        <v>61</v>
      </c>
      <c r="B71" s="23"/>
      <c r="C71" s="9"/>
      <c r="D71" s="9"/>
      <c r="E71" s="9"/>
      <c r="F71" s="9"/>
      <c r="G71" s="9"/>
      <c r="H71" s="9"/>
      <c r="I71" s="10"/>
      <c r="J71" s="10"/>
    </row>
    <row r="72" spans="1:10" x14ac:dyDescent="0.25">
      <c r="A72" s="3" t="s">
        <v>78</v>
      </c>
      <c r="B72" s="1" t="s">
        <v>208</v>
      </c>
      <c r="C72" s="9"/>
      <c r="D72" s="9"/>
      <c r="E72" s="9"/>
      <c r="F72" s="9"/>
      <c r="G72" s="9"/>
      <c r="H72" s="9"/>
      <c r="I72" s="10"/>
      <c r="J72" s="10"/>
    </row>
    <row r="73" spans="1:10" x14ac:dyDescent="0.25">
      <c r="A73" s="3" t="s">
        <v>71</v>
      </c>
      <c r="B73" s="1" t="s">
        <v>80</v>
      </c>
    </row>
    <row r="74" spans="1:10" x14ac:dyDescent="0.25">
      <c r="A74" s="3" t="s">
        <v>72</v>
      </c>
      <c r="B74" s="1" t="s">
        <v>81</v>
      </c>
    </row>
    <row r="75" spans="1:10" x14ac:dyDescent="0.25">
      <c r="A75" s="3" t="s">
        <v>73</v>
      </c>
      <c r="B75" s="1" t="s">
        <v>82</v>
      </c>
    </row>
  </sheetData>
  <mergeCells count="19">
    <mergeCell ref="C7:G7"/>
    <mergeCell ref="A44:B44"/>
    <mergeCell ref="A45:B45"/>
    <mergeCell ref="A50:B50"/>
    <mergeCell ref="A51:B51"/>
    <mergeCell ref="J59:J60"/>
    <mergeCell ref="A60:B60"/>
    <mergeCell ref="A64:B64"/>
    <mergeCell ref="A65:B65"/>
    <mergeCell ref="A52:B52"/>
    <mergeCell ref="A53:B53"/>
    <mergeCell ref="A58:B58"/>
    <mergeCell ref="A59:B59"/>
    <mergeCell ref="H59:H60"/>
    <mergeCell ref="A66:B66"/>
    <mergeCell ref="A67:B67"/>
    <mergeCell ref="A68:B68"/>
    <mergeCell ref="A71:B71"/>
    <mergeCell ref="I59:I60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J72"/>
  <sheetViews>
    <sheetView workbookViewId="0">
      <selection activeCell="H5" sqref="H5"/>
    </sheetView>
  </sheetViews>
  <sheetFormatPr defaultRowHeight="15" x14ac:dyDescent="0.25"/>
  <cols>
    <col min="1" max="1" width="28.42578125" bestFit="1" customWidth="1"/>
    <col min="2" max="2" width="59.5703125" bestFit="1" customWidth="1"/>
    <col min="3" max="3" width="12.7109375" bestFit="1" customWidth="1"/>
    <col min="4" max="4" width="31" bestFit="1" customWidth="1"/>
    <col min="5" max="5" width="13.85546875" bestFit="1" customWidth="1"/>
    <col min="6" max="6" width="8.5703125" bestFit="1" customWidth="1"/>
    <col min="7" max="7" width="47.7109375" bestFit="1" customWidth="1"/>
    <col min="8" max="9" width="16.7109375" bestFit="1" customWidth="1"/>
    <col min="10" max="10" width="24.42578125" bestFit="1" customWidth="1"/>
  </cols>
  <sheetData>
    <row r="2" spans="1:10" ht="18.75" x14ac:dyDescent="0.3">
      <c r="A2" s="3" t="s">
        <v>0</v>
      </c>
      <c r="B2" s="4" t="s">
        <v>209</v>
      </c>
    </row>
    <row r="3" spans="1:10" x14ac:dyDescent="0.25">
      <c r="A3" s="3" t="s">
        <v>2</v>
      </c>
      <c r="B3" s="1" t="s">
        <v>3</v>
      </c>
    </row>
    <row r="4" spans="1:10" x14ac:dyDescent="0.25">
      <c r="A4" s="3" t="s">
        <v>4</v>
      </c>
      <c r="B4" s="20">
        <v>1613</v>
      </c>
    </row>
    <row r="7" spans="1:10" x14ac:dyDescent="0.25">
      <c r="C7" s="22" t="s">
        <v>5</v>
      </c>
      <c r="D7" s="21"/>
      <c r="E7" s="21"/>
      <c r="F7" s="21"/>
      <c r="G7" s="21"/>
    </row>
    <row r="8" spans="1:10" x14ac:dyDescent="0.25">
      <c r="A8" s="3" t="s">
        <v>6</v>
      </c>
      <c r="B8" s="3" t="s">
        <v>7</v>
      </c>
      <c r="C8" s="15" t="s">
        <v>8</v>
      </c>
      <c r="D8" s="15" t="s">
        <v>9</v>
      </c>
      <c r="E8" s="15" t="s">
        <v>10</v>
      </c>
      <c r="F8" s="15" t="s">
        <v>11</v>
      </c>
      <c r="G8" s="15" t="s">
        <v>12</v>
      </c>
      <c r="H8" s="15" t="s">
        <v>13</v>
      </c>
      <c r="I8" s="15" t="s">
        <v>14</v>
      </c>
      <c r="J8" s="15" t="s">
        <v>15</v>
      </c>
    </row>
    <row r="9" spans="1:10" x14ac:dyDescent="0.25">
      <c r="A9" s="1" t="s">
        <v>49</v>
      </c>
      <c r="B9" s="1" t="s">
        <v>50</v>
      </c>
      <c r="C9" s="11"/>
      <c r="D9" s="11"/>
      <c r="E9" s="11"/>
      <c r="F9" s="11">
        <v>912</v>
      </c>
      <c r="G9" s="11">
        <f t="shared" ref="G9:G40" si="0">SUM(C9:F9)</f>
        <v>912</v>
      </c>
      <c r="H9" s="17">
        <f t="shared" ref="H9:H40" si="1">ROUND(G9/1613,2)</f>
        <v>0.56999999999999995</v>
      </c>
      <c r="I9" s="16">
        <f t="shared" ref="I9:I40" si="2">ROUND(G9/$G$41,3)</f>
        <v>1E-3</v>
      </c>
      <c r="J9" s="16"/>
    </row>
    <row r="10" spans="1:10" x14ac:dyDescent="0.25">
      <c r="A10" s="1" t="s">
        <v>49</v>
      </c>
      <c r="B10" s="1" t="s">
        <v>88</v>
      </c>
      <c r="C10" s="11"/>
      <c r="D10" s="11"/>
      <c r="E10" s="11"/>
      <c r="F10" s="11"/>
      <c r="G10" s="11">
        <f t="shared" si="0"/>
        <v>0</v>
      </c>
      <c r="H10" s="17">
        <f t="shared" si="1"/>
        <v>0</v>
      </c>
      <c r="I10" s="16">
        <f t="shared" si="2"/>
        <v>0</v>
      </c>
      <c r="J10" s="16"/>
    </row>
    <row r="11" spans="1:10" x14ac:dyDescent="0.25">
      <c r="A11" s="1" t="s">
        <v>16</v>
      </c>
      <c r="B11" s="1" t="s">
        <v>19</v>
      </c>
      <c r="C11" s="11">
        <v>3940</v>
      </c>
      <c r="D11" s="11">
        <v>52945</v>
      </c>
      <c r="E11" s="11"/>
      <c r="F11" s="11"/>
      <c r="G11" s="11">
        <f t="shared" si="0"/>
        <v>56885</v>
      </c>
      <c r="H11" s="17">
        <f t="shared" si="1"/>
        <v>35.270000000000003</v>
      </c>
      <c r="I11" s="16">
        <f t="shared" si="2"/>
        <v>6.3E-2</v>
      </c>
      <c r="J11" s="16">
        <f>ROUND(G11/55270-1,2)</f>
        <v>0.03</v>
      </c>
    </row>
    <row r="12" spans="1:10" x14ac:dyDescent="0.25">
      <c r="A12" s="1" t="s">
        <v>16</v>
      </c>
      <c r="B12" s="1" t="s">
        <v>20</v>
      </c>
      <c r="C12" s="11"/>
      <c r="D12" s="11">
        <v>70525</v>
      </c>
      <c r="E12" s="11"/>
      <c r="F12" s="11"/>
      <c r="G12" s="11">
        <f t="shared" si="0"/>
        <v>70525</v>
      </c>
      <c r="H12" s="17">
        <f t="shared" si="1"/>
        <v>43.72</v>
      </c>
      <c r="I12" s="16">
        <f t="shared" si="2"/>
        <v>7.8E-2</v>
      </c>
      <c r="J12" s="16">
        <f>ROUND(G12/67620-1,2)</f>
        <v>0.04</v>
      </c>
    </row>
    <row r="13" spans="1:10" x14ac:dyDescent="0.25">
      <c r="A13" s="1" t="s">
        <v>16</v>
      </c>
      <c r="B13" s="1" t="s">
        <v>21</v>
      </c>
      <c r="C13" s="11"/>
      <c r="D13" s="11"/>
      <c r="E13" s="11">
        <v>61</v>
      </c>
      <c r="F13" s="11"/>
      <c r="G13" s="11">
        <f t="shared" si="0"/>
        <v>61</v>
      </c>
      <c r="H13" s="17">
        <f t="shared" si="1"/>
        <v>0.04</v>
      </c>
      <c r="I13" s="16">
        <f t="shared" si="2"/>
        <v>0</v>
      </c>
      <c r="J13" s="16">
        <f>ROUND(G13/196-1,2)</f>
        <v>-0.69</v>
      </c>
    </row>
    <row r="14" spans="1:10" x14ac:dyDescent="0.25">
      <c r="A14" s="1" t="s">
        <v>16</v>
      </c>
      <c r="B14" s="1" t="s">
        <v>22</v>
      </c>
      <c r="C14" s="11"/>
      <c r="D14" s="11"/>
      <c r="E14" s="11">
        <v>2460</v>
      </c>
      <c r="F14" s="11"/>
      <c r="G14" s="11">
        <f t="shared" si="0"/>
        <v>2460</v>
      </c>
      <c r="H14" s="17">
        <f t="shared" si="1"/>
        <v>1.53</v>
      </c>
      <c r="I14" s="16">
        <f t="shared" si="2"/>
        <v>3.0000000000000001E-3</v>
      </c>
      <c r="J14" s="16">
        <f>ROUND(G14/2100-1,2)</f>
        <v>0.17</v>
      </c>
    </row>
    <row r="15" spans="1:10" x14ac:dyDescent="0.25">
      <c r="A15" s="1" t="s">
        <v>16</v>
      </c>
      <c r="B15" s="1" t="s">
        <v>23</v>
      </c>
      <c r="C15" s="11"/>
      <c r="D15" s="11"/>
      <c r="E15" s="11">
        <v>80160</v>
      </c>
      <c r="F15" s="11"/>
      <c r="G15" s="11">
        <f t="shared" si="0"/>
        <v>80160</v>
      </c>
      <c r="H15" s="17">
        <f t="shared" si="1"/>
        <v>49.7</v>
      </c>
      <c r="I15" s="16">
        <f t="shared" si="2"/>
        <v>8.8999999999999996E-2</v>
      </c>
      <c r="J15" s="16">
        <f>ROUND(G15/76660-1,2)</f>
        <v>0.05</v>
      </c>
    </row>
    <row r="16" spans="1:10" x14ac:dyDescent="0.25">
      <c r="A16" s="1" t="s">
        <v>16</v>
      </c>
      <c r="B16" s="1" t="s">
        <v>24</v>
      </c>
      <c r="C16" s="11">
        <v>2900</v>
      </c>
      <c r="D16" s="11">
        <v>69875</v>
      </c>
      <c r="E16" s="11">
        <v>6160</v>
      </c>
      <c r="F16" s="11"/>
      <c r="G16" s="11">
        <f t="shared" si="0"/>
        <v>78935</v>
      </c>
      <c r="H16" s="17">
        <f t="shared" si="1"/>
        <v>48.94</v>
      </c>
      <c r="I16" s="16">
        <f t="shared" si="2"/>
        <v>8.6999999999999994E-2</v>
      </c>
      <c r="J16" s="16">
        <f>ROUND(G16/79720-1,2)</f>
        <v>-0.01</v>
      </c>
    </row>
    <row r="17" spans="1:10" x14ac:dyDescent="0.25">
      <c r="A17" s="1" t="s">
        <v>16</v>
      </c>
      <c r="B17" s="1" t="s">
        <v>25</v>
      </c>
      <c r="C17" s="11"/>
      <c r="D17" s="11"/>
      <c r="E17" s="11">
        <v>2300</v>
      </c>
      <c r="F17" s="11"/>
      <c r="G17" s="11">
        <f t="shared" si="0"/>
        <v>2300</v>
      </c>
      <c r="H17" s="17">
        <f t="shared" si="1"/>
        <v>1.43</v>
      </c>
      <c r="I17" s="16">
        <f t="shared" si="2"/>
        <v>3.0000000000000001E-3</v>
      </c>
      <c r="J17" s="16">
        <f>ROUND(G17/3185-1,2)</f>
        <v>-0.28000000000000003</v>
      </c>
    </row>
    <row r="18" spans="1:10" x14ac:dyDescent="0.25">
      <c r="A18" s="1" t="s">
        <v>16</v>
      </c>
      <c r="B18" s="1" t="s">
        <v>26</v>
      </c>
      <c r="C18" s="11"/>
      <c r="D18" s="11">
        <v>89560</v>
      </c>
      <c r="E18" s="11"/>
      <c r="F18" s="11">
        <v>160</v>
      </c>
      <c r="G18" s="11">
        <f t="shared" si="0"/>
        <v>89720</v>
      </c>
      <c r="H18" s="17">
        <f t="shared" si="1"/>
        <v>55.62</v>
      </c>
      <c r="I18" s="16">
        <f t="shared" si="2"/>
        <v>9.9000000000000005E-2</v>
      </c>
      <c r="J18" s="16">
        <f>ROUND(G18/75240-1,2)</f>
        <v>0.19</v>
      </c>
    </row>
    <row r="19" spans="1:10" x14ac:dyDescent="0.25">
      <c r="A19" s="1" t="s">
        <v>16</v>
      </c>
      <c r="B19" s="1" t="s">
        <v>27</v>
      </c>
      <c r="C19" s="11"/>
      <c r="D19" s="11"/>
      <c r="E19" s="11">
        <v>1235</v>
      </c>
      <c r="F19" s="11"/>
      <c r="G19" s="11">
        <f t="shared" si="0"/>
        <v>1235</v>
      </c>
      <c r="H19" s="17">
        <f t="shared" si="1"/>
        <v>0.77</v>
      </c>
      <c r="I19" s="16">
        <f t="shared" si="2"/>
        <v>1E-3</v>
      </c>
      <c r="J19" s="16">
        <f>ROUND(G19/279-1,2)</f>
        <v>3.43</v>
      </c>
    </row>
    <row r="20" spans="1:10" x14ac:dyDescent="0.25">
      <c r="A20" s="1" t="s">
        <v>16</v>
      </c>
      <c r="B20" s="1" t="s">
        <v>28</v>
      </c>
      <c r="C20" s="11"/>
      <c r="D20" s="11"/>
      <c r="E20" s="11">
        <v>751</v>
      </c>
      <c r="F20" s="11"/>
      <c r="G20" s="11">
        <f t="shared" si="0"/>
        <v>751</v>
      </c>
      <c r="H20" s="17">
        <f t="shared" si="1"/>
        <v>0.47</v>
      </c>
      <c r="I20" s="16">
        <f t="shared" si="2"/>
        <v>1E-3</v>
      </c>
      <c r="J20" s="16">
        <f>ROUND(G20/80-1,2)</f>
        <v>8.39</v>
      </c>
    </row>
    <row r="21" spans="1:10" x14ac:dyDescent="0.25">
      <c r="A21" s="1" t="s">
        <v>16</v>
      </c>
      <c r="B21" s="1" t="s">
        <v>30</v>
      </c>
      <c r="C21" s="11"/>
      <c r="D21" s="11"/>
      <c r="E21" s="11">
        <v>1960</v>
      </c>
      <c r="F21" s="11"/>
      <c r="G21" s="11">
        <f t="shared" si="0"/>
        <v>1960</v>
      </c>
      <c r="H21" s="17">
        <f t="shared" si="1"/>
        <v>1.22</v>
      </c>
      <c r="I21" s="16">
        <f t="shared" si="2"/>
        <v>2E-3</v>
      </c>
      <c r="J21" s="16">
        <f>ROUND(G21/2700-1,2)</f>
        <v>-0.27</v>
      </c>
    </row>
    <row r="22" spans="1:10" x14ac:dyDescent="0.25">
      <c r="A22" s="1" t="s">
        <v>16</v>
      </c>
      <c r="B22" s="1" t="s">
        <v>31</v>
      </c>
      <c r="C22" s="11"/>
      <c r="D22" s="11"/>
      <c r="E22" s="11">
        <v>580</v>
      </c>
      <c r="F22" s="11"/>
      <c r="G22" s="11">
        <f t="shared" si="0"/>
        <v>580</v>
      </c>
      <c r="H22" s="17">
        <f t="shared" si="1"/>
        <v>0.36</v>
      </c>
      <c r="I22" s="16">
        <f t="shared" si="2"/>
        <v>1E-3</v>
      </c>
      <c r="J22" s="16">
        <f>ROUND(G22/150-1,2)</f>
        <v>2.87</v>
      </c>
    </row>
    <row r="23" spans="1:10" x14ac:dyDescent="0.25">
      <c r="A23" s="1" t="s">
        <v>16</v>
      </c>
      <c r="B23" s="1" t="s">
        <v>32</v>
      </c>
      <c r="C23" s="11"/>
      <c r="D23" s="11"/>
      <c r="E23" s="11">
        <v>370</v>
      </c>
      <c r="F23" s="11"/>
      <c r="G23" s="11">
        <f t="shared" si="0"/>
        <v>370</v>
      </c>
      <c r="H23" s="17">
        <f t="shared" si="1"/>
        <v>0.23</v>
      </c>
      <c r="I23" s="16">
        <f t="shared" si="2"/>
        <v>0</v>
      </c>
      <c r="J23" s="16">
        <f>ROUND(G23/1560-1,2)</f>
        <v>-0.76</v>
      </c>
    </row>
    <row r="24" spans="1:10" x14ac:dyDescent="0.25">
      <c r="A24" s="1" t="s">
        <v>16</v>
      </c>
      <c r="B24" s="1" t="s">
        <v>33</v>
      </c>
      <c r="C24" s="11"/>
      <c r="D24" s="11"/>
      <c r="E24" s="11">
        <v>845</v>
      </c>
      <c r="F24" s="11"/>
      <c r="G24" s="11">
        <f t="shared" si="0"/>
        <v>845</v>
      </c>
      <c r="H24" s="17">
        <f t="shared" si="1"/>
        <v>0.52</v>
      </c>
      <c r="I24" s="16">
        <f t="shared" si="2"/>
        <v>1E-3</v>
      </c>
      <c r="J24" s="16">
        <f>ROUND(G24/3125-1,2)</f>
        <v>-0.73</v>
      </c>
    </row>
    <row r="25" spans="1:10" x14ac:dyDescent="0.25">
      <c r="A25" s="1" t="s">
        <v>16</v>
      </c>
      <c r="B25" s="1" t="s">
        <v>34</v>
      </c>
      <c r="C25" s="11"/>
      <c r="D25" s="11">
        <v>14</v>
      </c>
      <c r="E25" s="11">
        <v>119</v>
      </c>
      <c r="F25" s="11"/>
      <c r="G25" s="11">
        <f t="shared" si="0"/>
        <v>133</v>
      </c>
      <c r="H25" s="17">
        <f t="shared" si="1"/>
        <v>0.08</v>
      </c>
      <c r="I25" s="16">
        <f t="shared" si="2"/>
        <v>0</v>
      </c>
      <c r="J25" s="16">
        <f>ROUND(G25/231-1,2)</f>
        <v>-0.42</v>
      </c>
    </row>
    <row r="26" spans="1:10" x14ac:dyDescent="0.25">
      <c r="A26" s="1" t="s">
        <v>16</v>
      </c>
      <c r="B26" s="1" t="s">
        <v>35</v>
      </c>
      <c r="C26" s="11"/>
      <c r="D26" s="11"/>
      <c r="E26" s="11">
        <v>1280</v>
      </c>
      <c r="F26" s="11"/>
      <c r="G26" s="11">
        <f t="shared" si="0"/>
        <v>1280</v>
      </c>
      <c r="H26" s="17">
        <f t="shared" si="1"/>
        <v>0.79</v>
      </c>
      <c r="I26" s="16">
        <f t="shared" si="2"/>
        <v>1E-3</v>
      </c>
      <c r="J26" s="16">
        <f>ROUND(G26/2090-1,2)</f>
        <v>-0.39</v>
      </c>
    </row>
    <row r="27" spans="1:10" x14ac:dyDescent="0.25">
      <c r="A27" s="1" t="s">
        <v>16</v>
      </c>
      <c r="B27" s="1" t="s">
        <v>37</v>
      </c>
      <c r="C27" s="11"/>
      <c r="D27" s="11"/>
      <c r="E27" s="11">
        <v>1676</v>
      </c>
      <c r="F27" s="11"/>
      <c r="G27" s="11">
        <f t="shared" si="0"/>
        <v>1676</v>
      </c>
      <c r="H27" s="17">
        <f t="shared" si="1"/>
        <v>1.04</v>
      </c>
      <c r="I27" s="16">
        <f t="shared" si="2"/>
        <v>2E-3</v>
      </c>
      <c r="J27" s="16">
        <f>ROUND(G27/1881-1,2)</f>
        <v>-0.11</v>
      </c>
    </row>
    <row r="28" spans="1:10" x14ac:dyDescent="0.25">
      <c r="A28" s="1" t="s">
        <v>16</v>
      </c>
      <c r="B28" s="1" t="s">
        <v>39</v>
      </c>
      <c r="C28" s="11"/>
      <c r="D28" s="11"/>
      <c r="E28" s="11">
        <v>4854</v>
      </c>
      <c r="F28" s="11"/>
      <c r="G28" s="11">
        <f t="shared" si="0"/>
        <v>4854</v>
      </c>
      <c r="H28" s="17">
        <f t="shared" si="1"/>
        <v>3.01</v>
      </c>
      <c r="I28" s="16">
        <f t="shared" si="2"/>
        <v>5.0000000000000001E-3</v>
      </c>
      <c r="J28" s="16">
        <f>ROUND(G28/5345-1,2)</f>
        <v>-0.09</v>
      </c>
    </row>
    <row r="29" spans="1:10" x14ac:dyDescent="0.25">
      <c r="A29" s="1" t="s">
        <v>16</v>
      </c>
      <c r="B29" s="1" t="s">
        <v>38</v>
      </c>
      <c r="C29" s="11"/>
      <c r="D29" s="11"/>
      <c r="E29" s="11">
        <v>3783</v>
      </c>
      <c r="F29" s="11"/>
      <c r="G29" s="11">
        <f t="shared" si="0"/>
        <v>3783</v>
      </c>
      <c r="H29" s="17">
        <f t="shared" si="1"/>
        <v>2.35</v>
      </c>
      <c r="I29" s="16">
        <f t="shared" si="2"/>
        <v>4.0000000000000001E-3</v>
      </c>
      <c r="J29" s="16">
        <f>ROUND(G29/5577-1,2)</f>
        <v>-0.32</v>
      </c>
    </row>
    <row r="30" spans="1:10" x14ac:dyDescent="0.25">
      <c r="A30" s="1" t="s">
        <v>16</v>
      </c>
      <c r="B30" s="1" t="s">
        <v>40</v>
      </c>
      <c r="C30" s="11"/>
      <c r="D30" s="11"/>
      <c r="E30" s="11">
        <v>46545</v>
      </c>
      <c r="F30" s="11"/>
      <c r="G30" s="11">
        <f t="shared" si="0"/>
        <v>46545</v>
      </c>
      <c r="H30" s="17">
        <f t="shared" si="1"/>
        <v>28.86</v>
      </c>
      <c r="I30" s="16">
        <f t="shared" si="2"/>
        <v>5.0999999999999997E-2</v>
      </c>
      <c r="J30" s="16">
        <f>ROUND(G30/49965-1,2)</f>
        <v>-7.0000000000000007E-2</v>
      </c>
    </row>
    <row r="31" spans="1:10" x14ac:dyDescent="0.25">
      <c r="A31" s="1" t="s">
        <v>16</v>
      </c>
      <c r="B31" s="1" t="s">
        <v>41</v>
      </c>
      <c r="C31" s="11"/>
      <c r="D31" s="11"/>
      <c r="E31" s="11">
        <v>6280</v>
      </c>
      <c r="F31" s="11"/>
      <c r="G31" s="11">
        <f t="shared" si="0"/>
        <v>6280</v>
      </c>
      <c r="H31" s="17">
        <f t="shared" si="1"/>
        <v>3.89</v>
      </c>
      <c r="I31" s="16">
        <f t="shared" si="2"/>
        <v>7.0000000000000001E-3</v>
      </c>
      <c r="J31" s="16">
        <f>ROUND(G31/6920-1,2)</f>
        <v>-0.09</v>
      </c>
    </row>
    <row r="32" spans="1:10" x14ac:dyDescent="0.25">
      <c r="A32" s="1" t="s">
        <v>16</v>
      </c>
      <c r="B32" s="1" t="s">
        <v>42</v>
      </c>
      <c r="C32" s="11"/>
      <c r="D32" s="11"/>
      <c r="E32" s="11">
        <v>16080</v>
      </c>
      <c r="F32" s="11"/>
      <c r="G32" s="11">
        <f t="shared" si="0"/>
        <v>16080</v>
      </c>
      <c r="H32" s="17">
        <f t="shared" si="1"/>
        <v>9.9700000000000006</v>
      </c>
      <c r="I32" s="16">
        <f t="shared" si="2"/>
        <v>1.7999999999999999E-2</v>
      </c>
      <c r="J32" s="16">
        <f>ROUND(G32/26780-1,2)</f>
        <v>-0.4</v>
      </c>
    </row>
    <row r="33" spans="1:10" x14ac:dyDescent="0.25">
      <c r="A33" s="1" t="s">
        <v>16</v>
      </c>
      <c r="B33" s="1" t="s">
        <v>44</v>
      </c>
      <c r="C33" s="11"/>
      <c r="D33" s="11"/>
      <c r="E33" s="11">
        <v>93920</v>
      </c>
      <c r="F33" s="11"/>
      <c r="G33" s="11">
        <f t="shared" si="0"/>
        <v>93920</v>
      </c>
      <c r="H33" s="17">
        <f t="shared" si="1"/>
        <v>58.23</v>
      </c>
      <c r="I33" s="16">
        <f t="shared" si="2"/>
        <v>0.104</v>
      </c>
      <c r="J33" s="16">
        <f>ROUND(G33/82220-1,2)</f>
        <v>0.14000000000000001</v>
      </c>
    </row>
    <row r="34" spans="1:10" x14ac:dyDescent="0.25">
      <c r="A34" s="1" t="s">
        <v>16</v>
      </c>
      <c r="B34" s="1" t="s">
        <v>17</v>
      </c>
      <c r="C34" s="11"/>
      <c r="D34" s="11"/>
      <c r="E34" s="11"/>
      <c r="F34" s="11"/>
      <c r="G34" s="11">
        <f t="shared" si="0"/>
        <v>0</v>
      </c>
      <c r="H34" s="17">
        <f t="shared" si="1"/>
        <v>0</v>
      </c>
      <c r="I34" s="16">
        <f t="shared" si="2"/>
        <v>0</v>
      </c>
      <c r="J34" s="16">
        <f>ROUND(G34/52-1,2)</f>
        <v>-1</v>
      </c>
    </row>
    <row r="35" spans="1:10" x14ac:dyDescent="0.25">
      <c r="A35" s="1" t="s">
        <v>16</v>
      </c>
      <c r="B35" s="1" t="s">
        <v>36</v>
      </c>
      <c r="C35" s="11"/>
      <c r="D35" s="11"/>
      <c r="E35" s="11"/>
      <c r="F35" s="11"/>
      <c r="G35" s="11">
        <f t="shared" si="0"/>
        <v>0</v>
      </c>
      <c r="H35" s="17">
        <f t="shared" si="1"/>
        <v>0</v>
      </c>
      <c r="I35" s="16">
        <f t="shared" si="2"/>
        <v>0</v>
      </c>
      <c r="J35" s="16">
        <f>ROUND(G35/330-1,2)</f>
        <v>-1</v>
      </c>
    </row>
    <row r="36" spans="1:10" x14ac:dyDescent="0.25">
      <c r="A36" s="1" t="s">
        <v>16</v>
      </c>
      <c r="B36" s="1" t="s">
        <v>96</v>
      </c>
      <c r="C36" s="11"/>
      <c r="D36" s="11"/>
      <c r="E36" s="11"/>
      <c r="F36" s="11"/>
      <c r="G36" s="11">
        <f t="shared" si="0"/>
        <v>0</v>
      </c>
      <c r="H36" s="17">
        <f t="shared" si="1"/>
        <v>0</v>
      </c>
      <c r="I36" s="16">
        <f t="shared" si="2"/>
        <v>0</v>
      </c>
      <c r="J36" s="16">
        <f>ROUND(G36/286-1,2)</f>
        <v>-1</v>
      </c>
    </row>
    <row r="37" spans="1:10" x14ac:dyDescent="0.25">
      <c r="A37" s="1" t="s">
        <v>16</v>
      </c>
      <c r="B37" s="1" t="s">
        <v>29</v>
      </c>
      <c r="C37" s="11"/>
      <c r="D37" s="11"/>
      <c r="E37" s="11"/>
      <c r="F37" s="11"/>
      <c r="G37" s="11">
        <f t="shared" si="0"/>
        <v>0</v>
      </c>
      <c r="H37" s="17">
        <f t="shared" si="1"/>
        <v>0</v>
      </c>
      <c r="I37" s="16">
        <f t="shared" si="2"/>
        <v>0</v>
      </c>
      <c r="J37" s="16">
        <f>ROUND(G37/125-1,2)</f>
        <v>-1</v>
      </c>
    </row>
    <row r="38" spans="1:10" x14ac:dyDescent="0.25">
      <c r="A38" s="1" t="s">
        <v>45</v>
      </c>
      <c r="B38" s="1" t="s">
        <v>46</v>
      </c>
      <c r="C38" s="11">
        <v>85870</v>
      </c>
      <c r="D38" s="11">
        <v>234005</v>
      </c>
      <c r="E38" s="11"/>
      <c r="F38" s="11"/>
      <c r="G38" s="11">
        <f t="shared" si="0"/>
        <v>319875</v>
      </c>
      <c r="H38" s="17">
        <f t="shared" si="1"/>
        <v>198.31</v>
      </c>
      <c r="I38" s="16">
        <f t="shared" si="2"/>
        <v>0.35399999999999998</v>
      </c>
      <c r="J38" s="16">
        <f>ROUND(G38/322790-1,2)</f>
        <v>-0.01</v>
      </c>
    </row>
    <row r="39" spans="1:10" x14ac:dyDescent="0.25">
      <c r="A39" s="1" t="s">
        <v>45</v>
      </c>
      <c r="B39" s="1" t="s">
        <v>47</v>
      </c>
      <c r="C39" s="11"/>
      <c r="D39" s="11"/>
      <c r="E39" s="11">
        <v>21980</v>
      </c>
      <c r="F39" s="11"/>
      <c r="G39" s="11">
        <f t="shared" si="0"/>
        <v>21980</v>
      </c>
      <c r="H39" s="17">
        <f t="shared" si="1"/>
        <v>13.63</v>
      </c>
      <c r="I39" s="16">
        <f t="shared" si="2"/>
        <v>2.4E-2</v>
      </c>
      <c r="J39" s="16">
        <f>ROUND(G39/24580-1,2)</f>
        <v>-0.11</v>
      </c>
    </row>
    <row r="40" spans="1:10" x14ac:dyDescent="0.25">
      <c r="A40" s="1" t="s">
        <v>45</v>
      </c>
      <c r="B40" s="1" t="s">
        <v>48</v>
      </c>
      <c r="C40" s="11"/>
      <c r="D40" s="11"/>
      <c r="E40" s="11"/>
      <c r="F40" s="11"/>
      <c r="G40" s="11">
        <f t="shared" si="0"/>
        <v>0</v>
      </c>
      <c r="H40" s="17">
        <f t="shared" si="1"/>
        <v>0</v>
      </c>
      <c r="I40" s="16">
        <f t="shared" si="2"/>
        <v>0</v>
      </c>
      <c r="J40" s="16"/>
    </row>
    <row r="41" spans="1:10" x14ac:dyDescent="0.25">
      <c r="A41" s="26" t="s">
        <v>12</v>
      </c>
      <c r="B41" s="26"/>
      <c r="C41" s="12">
        <f t="shared" ref="C41:H41" si="3">SUM(C8:C40)</f>
        <v>92710</v>
      </c>
      <c r="D41" s="12">
        <f t="shared" si="3"/>
        <v>516924</v>
      </c>
      <c r="E41" s="12">
        <f t="shared" si="3"/>
        <v>293399</v>
      </c>
      <c r="F41" s="12">
        <f t="shared" si="3"/>
        <v>1072</v>
      </c>
      <c r="G41" s="12">
        <f t="shared" si="3"/>
        <v>904105</v>
      </c>
      <c r="H41" s="15">
        <f t="shared" si="3"/>
        <v>560.55000000000007</v>
      </c>
      <c r="I41" s="18"/>
      <c r="J41" s="18"/>
    </row>
    <row r="42" spans="1:10" x14ac:dyDescent="0.25">
      <c r="A42" s="26" t="s">
        <v>14</v>
      </c>
      <c r="B42" s="26"/>
      <c r="C42" s="13">
        <f>ROUND(C41/G41,2)</f>
        <v>0.1</v>
      </c>
      <c r="D42" s="13">
        <f>ROUND(D41/G41,2)</f>
        <v>0.56999999999999995</v>
      </c>
      <c r="E42" s="13">
        <f>ROUND(E41/G41,2)</f>
        <v>0.32</v>
      </c>
      <c r="F42" s="13">
        <f>ROUND(F41/G41,2)</f>
        <v>0</v>
      </c>
      <c r="G42" s="14"/>
      <c r="H42" s="14"/>
      <c r="I42" s="18"/>
      <c r="J42" s="18"/>
    </row>
    <row r="43" spans="1:10" x14ac:dyDescent="0.25">
      <c r="A43" s="2" t="s">
        <v>53</v>
      </c>
      <c r="B43" s="2"/>
      <c r="C43" s="14"/>
      <c r="D43" s="14"/>
      <c r="E43" s="14"/>
      <c r="F43" s="14"/>
      <c r="G43" s="14"/>
      <c r="H43" s="14"/>
      <c r="I43" s="18"/>
      <c r="J43" s="18"/>
    </row>
    <row r="44" spans="1:10" x14ac:dyDescent="0.25">
      <c r="C44" s="9"/>
      <c r="D44" s="9"/>
      <c r="E44" s="9"/>
      <c r="F44" s="9"/>
      <c r="G44" s="9"/>
      <c r="H44" s="9"/>
      <c r="I44" s="10"/>
      <c r="J44" s="10"/>
    </row>
    <row r="45" spans="1:10" x14ac:dyDescent="0.25">
      <c r="C45" s="9"/>
      <c r="D45" s="9"/>
      <c r="E45" s="9"/>
      <c r="F45" s="9"/>
      <c r="G45" s="9"/>
      <c r="H45" s="9"/>
      <c r="I45" s="10"/>
      <c r="J45" s="10"/>
    </row>
    <row r="46" spans="1:10" x14ac:dyDescent="0.25">
      <c r="C46" s="9"/>
      <c r="D46" s="9"/>
      <c r="E46" s="9"/>
      <c r="F46" s="9"/>
      <c r="G46" s="9"/>
      <c r="H46" s="9"/>
      <c r="I46" s="10"/>
      <c r="J46" s="10"/>
    </row>
    <row r="47" spans="1:10" x14ac:dyDescent="0.25">
      <c r="A47" s="26" t="s">
        <v>54</v>
      </c>
      <c r="B47" s="26"/>
      <c r="C47" s="12" t="s">
        <v>8</v>
      </c>
      <c r="D47" s="12" t="s">
        <v>9</v>
      </c>
      <c r="E47" s="12" t="s">
        <v>10</v>
      </c>
      <c r="F47" s="12" t="s">
        <v>11</v>
      </c>
      <c r="G47" s="12" t="s">
        <v>12</v>
      </c>
      <c r="H47" s="15" t="s">
        <v>13</v>
      </c>
      <c r="I47" s="18"/>
      <c r="J47" s="18"/>
    </row>
    <row r="48" spans="1:10" x14ac:dyDescent="0.25">
      <c r="A48" s="21" t="s">
        <v>55</v>
      </c>
      <c r="B48" s="21"/>
      <c r="C48" s="11">
        <v>6840</v>
      </c>
      <c r="D48" s="11">
        <v>282919</v>
      </c>
      <c r="E48" s="11">
        <v>271419</v>
      </c>
      <c r="F48" s="11">
        <v>160</v>
      </c>
      <c r="G48" s="11">
        <f>SUM(C48:F48)</f>
        <v>561338</v>
      </c>
      <c r="H48" s="17">
        <f>ROUND(G48/1613,2)</f>
        <v>348.01</v>
      </c>
      <c r="I48" s="10"/>
      <c r="J48" s="10"/>
    </row>
    <row r="49" spans="1:10" x14ac:dyDescent="0.25">
      <c r="A49" s="21" t="s">
        <v>56</v>
      </c>
      <c r="B49" s="21"/>
      <c r="C49" s="11">
        <v>85870</v>
      </c>
      <c r="D49" s="11">
        <v>234005</v>
      </c>
      <c r="E49" s="11">
        <v>21980</v>
      </c>
      <c r="F49" s="11">
        <v>0</v>
      </c>
      <c r="G49" s="11">
        <f>SUM(C49:F49)</f>
        <v>341855</v>
      </c>
      <c r="H49" s="17">
        <f>ROUND(G49/1613,2)</f>
        <v>211.94</v>
      </c>
      <c r="I49" s="10"/>
      <c r="J49" s="10"/>
    </row>
    <row r="50" spans="1:10" x14ac:dyDescent="0.25">
      <c r="A50" s="21" t="s">
        <v>57</v>
      </c>
      <c r="B50" s="21"/>
      <c r="C50" s="11">
        <v>0</v>
      </c>
      <c r="D50" s="11">
        <v>0</v>
      </c>
      <c r="E50" s="11">
        <v>0</v>
      </c>
      <c r="F50" s="11">
        <v>912</v>
      </c>
      <c r="G50" s="11">
        <f>SUM(C50:F50)</f>
        <v>912</v>
      </c>
      <c r="H50" s="17">
        <f>ROUND(G50/1613,2)</f>
        <v>0.56999999999999995</v>
      </c>
      <c r="I50" s="10"/>
      <c r="J50" s="10"/>
    </row>
    <row r="51" spans="1:10" x14ac:dyDescent="0.25">
      <c r="C51" s="9"/>
      <c r="D51" s="9"/>
      <c r="E51" s="9"/>
      <c r="F51" s="9"/>
      <c r="G51" s="9"/>
      <c r="H51" s="9"/>
      <c r="I51" s="10"/>
      <c r="J51" s="10"/>
    </row>
    <row r="52" spans="1:10" x14ac:dyDescent="0.25">
      <c r="C52" s="9"/>
      <c r="D52" s="9"/>
      <c r="E52" s="9"/>
      <c r="F52" s="9"/>
      <c r="G52" s="9"/>
      <c r="H52" s="9"/>
      <c r="I52" s="10"/>
      <c r="J52" s="10"/>
    </row>
    <row r="53" spans="1:10" x14ac:dyDescent="0.25">
      <c r="C53" s="9"/>
      <c r="D53" s="9"/>
      <c r="E53" s="9"/>
      <c r="F53" s="9"/>
      <c r="G53" s="9"/>
      <c r="H53" s="9"/>
      <c r="I53" s="10"/>
      <c r="J53" s="10"/>
    </row>
    <row r="54" spans="1:10" x14ac:dyDescent="0.25">
      <c r="C54" s="9"/>
      <c r="D54" s="9"/>
      <c r="E54" s="9"/>
      <c r="F54" s="9"/>
      <c r="G54" s="9"/>
      <c r="H54" s="9"/>
      <c r="I54" s="10"/>
      <c r="J54" s="10"/>
    </row>
    <row r="55" spans="1:10" x14ac:dyDescent="0.25">
      <c r="A55" s="26" t="s">
        <v>58</v>
      </c>
      <c r="B55" s="26"/>
      <c r="C55" s="15" t="s">
        <v>2</v>
      </c>
      <c r="D55" s="15">
        <v>2024</v>
      </c>
      <c r="E55" s="15" t="s">
        <v>60</v>
      </c>
      <c r="F55" s="14"/>
      <c r="G55" s="15" t="s">
        <v>61</v>
      </c>
      <c r="H55" s="15" t="s">
        <v>2</v>
      </c>
      <c r="I55" s="13" t="s">
        <v>62</v>
      </c>
      <c r="J55" s="13" t="s">
        <v>60</v>
      </c>
    </row>
    <row r="56" spans="1:10" x14ac:dyDescent="0.25">
      <c r="A56" s="21" t="s">
        <v>59</v>
      </c>
      <c r="B56" s="21"/>
      <c r="C56" s="16">
        <f>ROUND(0.6106, 4)</f>
        <v>0.61060000000000003</v>
      </c>
      <c r="D56" s="16">
        <f>ROUND(0.6023, 4)</f>
        <v>0.60229999999999995</v>
      </c>
      <c r="E56" s="16">
        <f>ROUND(0.7856, 4)</f>
        <v>0.78559999999999997</v>
      </c>
      <c r="F56" s="9"/>
      <c r="G56" s="15" t="s">
        <v>63</v>
      </c>
      <c r="H56" s="27" t="s">
        <v>64</v>
      </c>
      <c r="I56" s="24" t="s">
        <v>65</v>
      </c>
      <c r="J56" s="24" t="s">
        <v>66</v>
      </c>
    </row>
    <row r="57" spans="1:10" x14ac:dyDescent="0.25">
      <c r="A57" s="21" t="s">
        <v>67</v>
      </c>
      <c r="B57" s="21"/>
      <c r="C57" s="16">
        <f>ROUND(0.6106, 4)</f>
        <v>0.61060000000000003</v>
      </c>
      <c r="D57" s="16">
        <f>ROUND(0.5772, 4)</f>
        <v>0.57720000000000005</v>
      </c>
      <c r="E57" s="16">
        <f>ROUND(0.7702, 4)</f>
        <v>0.7702</v>
      </c>
      <c r="F57" s="9"/>
      <c r="G57" s="15" t="s">
        <v>68</v>
      </c>
      <c r="H57" s="28"/>
      <c r="I57" s="25"/>
      <c r="J57" s="25"/>
    </row>
    <row r="58" spans="1:10" x14ac:dyDescent="0.25">
      <c r="C58" s="9"/>
      <c r="D58" s="9"/>
      <c r="E58" s="9"/>
      <c r="F58" s="9"/>
      <c r="G58" s="9"/>
      <c r="H58" s="9"/>
      <c r="I58" s="10"/>
      <c r="J58" s="10"/>
    </row>
    <row r="59" spans="1:10" x14ac:dyDescent="0.25">
      <c r="C59" s="9"/>
      <c r="D59" s="9"/>
      <c r="E59" s="9"/>
      <c r="F59" s="9"/>
      <c r="G59" s="9"/>
      <c r="H59" s="9"/>
      <c r="I59" s="10"/>
      <c r="J59" s="10"/>
    </row>
    <row r="60" spans="1:10" x14ac:dyDescent="0.25">
      <c r="C60" s="9"/>
      <c r="D60" s="9"/>
      <c r="E60" s="9"/>
      <c r="F60" s="9"/>
      <c r="G60" s="9"/>
      <c r="H60" s="9"/>
      <c r="I60" s="10"/>
      <c r="J60" s="10"/>
    </row>
    <row r="61" spans="1:10" x14ac:dyDescent="0.25">
      <c r="A61" s="26" t="s">
        <v>69</v>
      </c>
      <c r="B61" s="26"/>
      <c r="C61" s="15" t="s">
        <v>2</v>
      </c>
      <c r="D61" s="15" t="s">
        <v>210</v>
      </c>
      <c r="E61" s="15" t="s">
        <v>71</v>
      </c>
      <c r="F61" s="15" t="s">
        <v>72</v>
      </c>
      <c r="G61" s="15" t="s">
        <v>73</v>
      </c>
      <c r="H61" s="14"/>
      <c r="I61" s="18"/>
      <c r="J61" s="18"/>
    </row>
    <row r="62" spans="1:10" x14ac:dyDescent="0.25">
      <c r="A62" s="21" t="s">
        <v>74</v>
      </c>
      <c r="B62" s="21"/>
      <c r="C62" s="17">
        <v>198.31</v>
      </c>
      <c r="D62" s="17">
        <v>188.37</v>
      </c>
      <c r="E62" s="17">
        <v>96.15</v>
      </c>
      <c r="F62" s="17">
        <v>57.94</v>
      </c>
      <c r="G62" s="17">
        <f>12/12*C62</f>
        <v>198.31</v>
      </c>
      <c r="H62" s="9"/>
      <c r="I62" s="10"/>
      <c r="J62" s="10"/>
    </row>
    <row r="63" spans="1:10" x14ac:dyDescent="0.25">
      <c r="A63" s="21" t="s">
        <v>75</v>
      </c>
      <c r="B63" s="21"/>
      <c r="C63" s="17">
        <v>55.62</v>
      </c>
      <c r="D63" s="17">
        <v>53.08</v>
      </c>
      <c r="E63" s="17">
        <v>62.28</v>
      </c>
      <c r="F63" s="17">
        <v>66.599999999999994</v>
      </c>
      <c r="G63" s="17">
        <f>12/12*C63</f>
        <v>55.62</v>
      </c>
      <c r="H63" s="9"/>
      <c r="I63" s="10"/>
      <c r="J63" s="10"/>
    </row>
    <row r="64" spans="1:10" x14ac:dyDescent="0.25">
      <c r="A64" s="21" t="s">
        <v>76</v>
      </c>
      <c r="B64" s="21"/>
      <c r="C64" s="17">
        <v>348.01</v>
      </c>
      <c r="D64" s="17">
        <v>333.03</v>
      </c>
      <c r="E64" s="17">
        <v>300.02</v>
      </c>
      <c r="F64" s="17">
        <v>295.08</v>
      </c>
      <c r="G64" s="17">
        <f>12/12*C64</f>
        <v>348.01</v>
      </c>
      <c r="H64" s="9"/>
      <c r="I64" s="10"/>
      <c r="J64" s="10"/>
    </row>
    <row r="65" spans="1:10" x14ac:dyDescent="0.25">
      <c r="A65" s="21" t="s">
        <v>77</v>
      </c>
      <c r="B65" s="21"/>
      <c r="C65" s="17">
        <v>211.94</v>
      </c>
      <c r="D65" s="17">
        <v>207.95</v>
      </c>
      <c r="E65" s="17">
        <v>120.96</v>
      </c>
      <c r="F65" s="17">
        <v>83.12</v>
      </c>
      <c r="G65" s="17">
        <f>12/12*C65</f>
        <v>211.94</v>
      </c>
      <c r="H65" s="9"/>
      <c r="I65" s="10"/>
      <c r="J65" s="10"/>
    </row>
    <row r="66" spans="1:10" x14ac:dyDescent="0.25">
      <c r="C66" s="9"/>
      <c r="D66" s="9"/>
      <c r="E66" s="9"/>
      <c r="F66" s="9"/>
      <c r="G66" s="9"/>
      <c r="H66" s="9"/>
      <c r="I66" s="10"/>
      <c r="J66" s="10"/>
    </row>
    <row r="67" spans="1:10" x14ac:dyDescent="0.25">
      <c r="C67" s="9"/>
      <c r="D67" s="9"/>
      <c r="E67" s="9"/>
      <c r="F67" s="9"/>
      <c r="G67" s="9"/>
      <c r="H67" s="9"/>
      <c r="I67" s="10"/>
      <c r="J67" s="10"/>
    </row>
    <row r="68" spans="1:10" x14ac:dyDescent="0.25">
      <c r="A68" s="22" t="s">
        <v>61</v>
      </c>
      <c r="B68" s="23"/>
      <c r="C68" s="9"/>
      <c r="D68" s="9"/>
      <c r="E68" s="9"/>
      <c r="F68" s="9"/>
      <c r="G68" s="9"/>
      <c r="H68" s="9"/>
      <c r="I68" s="10"/>
      <c r="J68" s="10"/>
    </row>
    <row r="69" spans="1:10" x14ac:dyDescent="0.25">
      <c r="A69" s="3" t="s">
        <v>78</v>
      </c>
      <c r="B69" s="1" t="s">
        <v>211</v>
      </c>
      <c r="C69" s="9"/>
      <c r="D69" s="9"/>
      <c r="E69" s="9"/>
      <c r="F69" s="9"/>
      <c r="G69" s="9"/>
      <c r="H69" s="9"/>
      <c r="I69" s="10"/>
      <c r="J69" s="10"/>
    </row>
    <row r="70" spans="1:10" x14ac:dyDescent="0.25">
      <c r="A70" s="3" t="s">
        <v>71</v>
      </c>
      <c r="B70" s="1" t="s">
        <v>80</v>
      </c>
      <c r="C70" s="9"/>
      <c r="D70" s="9"/>
      <c r="E70" s="9"/>
      <c r="F70" s="9"/>
      <c r="G70" s="9"/>
      <c r="H70" s="9"/>
      <c r="I70" s="10"/>
      <c r="J70" s="10"/>
    </row>
    <row r="71" spans="1:10" x14ac:dyDescent="0.25">
      <c r="A71" s="3" t="s">
        <v>72</v>
      </c>
      <c r="B71" s="1" t="s">
        <v>81</v>
      </c>
      <c r="C71" s="9"/>
      <c r="D71" s="9"/>
      <c r="E71" s="9"/>
      <c r="F71" s="9"/>
      <c r="G71" s="9"/>
      <c r="H71" s="9"/>
      <c r="I71" s="10"/>
      <c r="J71" s="10"/>
    </row>
    <row r="72" spans="1:10" x14ac:dyDescent="0.25">
      <c r="A72" s="3" t="s">
        <v>73</v>
      </c>
      <c r="B72" s="1" t="s">
        <v>82</v>
      </c>
    </row>
  </sheetData>
  <mergeCells count="19">
    <mergeCell ref="C7:G7"/>
    <mergeCell ref="A41:B41"/>
    <mergeCell ref="A42:B42"/>
    <mergeCell ref="A47:B47"/>
    <mergeCell ref="A48:B48"/>
    <mergeCell ref="J56:J57"/>
    <mergeCell ref="A57:B57"/>
    <mergeCell ref="A61:B61"/>
    <mergeCell ref="A62:B62"/>
    <mergeCell ref="A49:B49"/>
    <mergeCell ref="A50:B50"/>
    <mergeCell ref="A55:B55"/>
    <mergeCell ref="A56:B56"/>
    <mergeCell ref="H56:H57"/>
    <mergeCell ref="A63:B63"/>
    <mergeCell ref="A64:B64"/>
    <mergeCell ref="A65:B65"/>
    <mergeCell ref="A68:B68"/>
    <mergeCell ref="I56:I57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J71"/>
  <sheetViews>
    <sheetView workbookViewId="0">
      <selection activeCell="H5" sqref="H5"/>
    </sheetView>
  </sheetViews>
  <sheetFormatPr defaultRowHeight="15" x14ac:dyDescent="0.25"/>
  <cols>
    <col min="1" max="1" width="28.42578125" bestFit="1" customWidth="1"/>
    <col min="2" max="2" width="59.5703125" bestFit="1" customWidth="1"/>
    <col min="3" max="3" width="12.7109375" bestFit="1" customWidth="1"/>
    <col min="4" max="4" width="25.140625" bestFit="1" customWidth="1"/>
    <col min="5" max="5" width="13.85546875" bestFit="1" customWidth="1"/>
    <col min="6" max="6" width="8.5703125" bestFit="1" customWidth="1"/>
    <col min="7" max="7" width="47.7109375" bestFit="1" customWidth="1"/>
    <col min="8" max="9" width="16.7109375" bestFit="1" customWidth="1"/>
    <col min="10" max="10" width="24.42578125" bestFit="1" customWidth="1"/>
  </cols>
  <sheetData>
    <row r="2" spans="1:10" ht="18.75" x14ac:dyDescent="0.3">
      <c r="A2" s="3" t="s">
        <v>0</v>
      </c>
      <c r="B2" s="4" t="s">
        <v>212</v>
      </c>
    </row>
    <row r="3" spans="1:10" x14ac:dyDescent="0.25">
      <c r="A3" s="3" t="s">
        <v>2</v>
      </c>
      <c r="B3" s="1" t="s">
        <v>3</v>
      </c>
    </row>
    <row r="4" spans="1:10" x14ac:dyDescent="0.25">
      <c r="A4" s="3" t="s">
        <v>4</v>
      </c>
      <c r="B4" s="20">
        <v>1602</v>
      </c>
    </row>
    <row r="7" spans="1:10" x14ac:dyDescent="0.25">
      <c r="C7" s="22" t="s">
        <v>5</v>
      </c>
      <c r="D7" s="21"/>
      <c r="E7" s="21"/>
      <c r="F7" s="21"/>
      <c r="G7" s="21"/>
    </row>
    <row r="8" spans="1:10" x14ac:dyDescent="0.25">
      <c r="A8" s="3" t="s">
        <v>6</v>
      </c>
      <c r="B8" s="3" t="s">
        <v>7</v>
      </c>
      <c r="C8" s="15" t="s">
        <v>8</v>
      </c>
      <c r="D8" s="15" t="s">
        <v>9</v>
      </c>
      <c r="E8" s="15" t="s">
        <v>10</v>
      </c>
      <c r="F8" s="15" t="s">
        <v>11</v>
      </c>
      <c r="G8" s="15" t="s">
        <v>12</v>
      </c>
      <c r="H8" s="15" t="s">
        <v>13</v>
      </c>
      <c r="I8" s="15" t="s">
        <v>14</v>
      </c>
      <c r="J8" s="15" t="s">
        <v>15</v>
      </c>
    </row>
    <row r="9" spans="1:10" x14ac:dyDescent="0.25">
      <c r="A9" s="1" t="s">
        <v>16</v>
      </c>
      <c r="B9" s="1" t="s">
        <v>17</v>
      </c>
      <c r="C9" s="11"/>
      <c r="D9" s="11"/>
      <c r="E9" s="11">
        <v>32</v>
      </c>
      <c r="F9" s="11"/>
      <c r="G9" s="11">
        <f t="shared" ref="G9:G39" si="0">SUM(C9:F9)</f>
        <v>32</v>
      </c>
      <c r="H9" s="17">
        <f t="shared" ref="H9:H39" si="1">ROUND(G9/1602,2)</f>
        <v>0.02</v>
      </c>
      <c r="I9" s="16">
        <f t="shared" ref="I9:I39" si="2">ROUND(G9/$G$40,3)</f>
        <v>0</v>
      </c>
      <c r="J9" s="16">
        <f>ROUND(G9/75-1,2)</f>
        <v>-0.56999999999999995</v>
      </c>
    </row>
    <row r="10" spans="1:10" x14ac:dyDescent="0.25">
      <c r="A10" s="1" t="s">
        <v>16</v>
      </c>
      <c r="B10" s="1" t="s">
        <v>19</v>
      </c>
      <c r="C10" s="11">
        <v>41780</v>
      </c>
      <c r="D10" s="11"/>
      <c r="E10" s="11"/>
      <c r="F10" s="11">
        <v>200</v>
      </c>
      <c r="G10" s="11">
        <f t="shared" si="0"/>
        <v>41980</v>
      </c>
      <c r="H10" s="17">
        <f t="shared" si="1"/>
        <v>26.2</v>
      </c>
      <c r="I10" s="16">
        <f t="shared" si="2"/>
        <v>7.9000000000000001E-2</v>
      </c>
      <c r="J10" s="16">
        <f>ROUND(G10/44220-1,2)</f>
        <v>-0.05</v>
      </c>
    </row>
    <row r="11" spans="1:10" x14ac:dyDescent="0.25">
      <c r="A11" s="1" t="s">
        <v>16</v>
      </c>
      <c r="B11" s="1" t="s">
        <v>20</v>
      </c>
      <c r="C11" s="11">
        <v>63420</v>
      </c>
      <c r="D11" s="11"/>
      <c r="E11" s="11"/>
      <c r="F11" s="11"/>
      <c r="G11" s="11">
        <f t="shared" si="0"/>
        <v>63420</v>
      </c>
      <c r="H11" s="17">
        <f t="shared" si="1"/>
        <v>39.590000000000003</v>
      </c>
      <c r="I11" s="16">
        <f t="shared" si="2"/>
        <v>0.11899999999999999</v>
      </c>
      <c r="J11" s="16">
        <f>ROUND(G11/58950-1,2)</f>
        <v>0.08</v>
      </c>
    </row>
    <row r="12" spans="1:10" x14ac:dyDescent="0.25">
      <c r="A12" s="1" t="s">
        <v>16</v>
      </c>
      <c r="B12" s="1" t="s">
        <v>87</v>
      </c>
      <c r="C12" s="11"/>
      <c r="D12" s="11"/>
      <c r="E12" s="11">
        <v>105</v>
      </c>
      <c r="F12" s="11"/>
      <c r="G12" s="11">
        <f t="shared" si="0"/>
        <v>105</v>
      </c>
      <c r="H12" s="17">
        <f t="shared" si="1"/>
        <v>7.0000000000000007E-2</v>
      </c>
      <c r="I12" s="16">
        <f t="shared" si="2"/>
        <v>0</v>
      </c>
      <c r="J12" s="16">
        <f>ROUND(G12/96-1,2)</f>
        <v>0.09</v>
      </c>
    </row>
    <row r="13" spans="1:10" x14ac:dyDescent="0.25">
      <c r="A13" s="1" t="s">
        <v>16</v>
      </c>
      <c r="B13" s="1" t="s">
        <v>21</v>
      </c>
      <c r="C13" s="11"/>
      <c r="D13" s="11"/>
      <c r="E13" s="11">
        <v>90</v>
      </c>
      <c r="F13" s="11"/>
      <c r="G13" s="11">
        <f t="shared" si="0"/>
        <v>90</v>
      </c>
      <c r="H13" s="17">
        <f t="shared" si="1"/>
        <v>0.06</v>
      </c>
      <c r="I13" s="16">
        <f t="shared" si="2"/>
        <v>0</v>
      </c>
      <c r="J13" s="16">
        <f>ROUND(G13/118-1,2)</f>
        <v>-0.24</v>
      </c>
    </row>
    <row r="14" spans="1:10" x14ac:dyDescent="0.25">
      <c r="A14" s="1" t="s">
        <v>16</v>
      </c>
      <c r="B14" s="1" t="s">
        <v>22</v>
      </c>
      <c r="C14" s="11"/>
      <c r="D14" s="11"/>
      <c r="E14" s="11">
        <v>1900</v>
      </c>
      <c r="F14" s="11"/>
      <c r="G14" s="11">
        <f t="shared" si="0"/>
        <v>1900</v>
      </c>
      <c r="H14" s="17">
        <f t="shared" si="1"/>
        <v>1.19</v>
      </c>
      <c r="I14" s="16">
        <f t="shared" si="2"/>
        <v>4.0000000000000001E-3</v>
      </c>
      <c r="J14" s="16">
        <f>ROUND(G14/1100-1,2)</f>
        <v>0.73</v>
      </c>
    </row>
    <row r="15" spans="1:10" x14ac:dyDescent="0.25">
      <c r="A15" s="1" t="s">
        <v>16</v>
      </c>
      <c r="B15" s="1" t="s">
        <v>23</v>
      </c>
      <c r="C15" s="11"/>
      <c r="D15" s="11"/>
      <c r="E15" s="11">
        <v>13400</v>
      </c>
      <c r="F15" s="11"/>
      <c r="G15" s="11">
        <f t="shared" si="0"/>
        <v>13400</v>
      </c>
      <c r="H15" s="17">
        <f t="shared" si="1"/>
        <v>8.36</v>
      </c>
      <c r="I15" s="16">
        <f t="shared" si="2"/>
        <v>2.5000000000000001E-2</v>
      </c>
      <c r="J15" s="16">
        <f>ROUND(G15/14260-1,2)</f>
        <v>-0.06</v>
      </c>
    </row>
    <row r="16" spans="1:10" x14ac:dyDescent="0.25">
      <c r="A16" s="1" t="s">
        <v>16</v>
      </c>
      <c r="B16" s="1" t="s">
        <v>24</v>
      </c>
      <c r="C16" s="11">
        <v>52960</v>
      </c>
      <c r="D16" s="11"/>
      <c r="E16" s="11"/>
      <c r="F16" s="11">
        <v>400</v>
      </c>
      <c r="G16" s="11">
        <f t="shared" si="0"/>
        <v>53360</v>
      </c>
      <c r="H16" s="17">
        <f t="shared" si="1"/>
        <v>33.31</v>
      </c>
      <c r="I16" s="16">
        <f t="shared" si="2"/>
        <v>0.1</v>
      </c>
      <c r="J16" s="16">
        <f>ROUND(G16/54740-1,2)</f>
        <v>-0.03</v>
      </c>
    </row>
    <row r="17" spans="1:10" x14ac:dyDescent="0.25">
      <c r="A17" s="1" t="s">
        <v>16</v>
      </c>
      <c r="B17" s="1" t="s">
        <v>25</v>
      </c>
      <c r="C17" s="11"/>
      <c r="D17" s="11"/>
      <c r="E17" s="11">
        <v>2140</v>
      </c>
      <c r="F17" s="11"/>
      <c r="G17" s="11">
        <f t="shared" si="0"/>
        <v>2140</v>
      </c>
      <c r="H17" s="17">
        <f t="shared" si="1"/>
        <v>1.34</v>
      </c>
      <c r="I17" s="16">
        <f t="shared" si="2"/>
        <v>4.0000000000000001E-3</v>
      </c>
      <c r="J17" s="16">
        <f>ROUND(G17/1440-1,2)</f>
        <v>0.49</v>
      </c>
    </row>
    <row r="18" spans="1:10" x14ac:dyDescent="0.25">
      <c r="A18" s="1" t="s">
        <v>16</v>
      </c>
      <c r="B18" s="1" t="s">
        <v>26</v>
      </c>
      <c r="C18" s="11">
        <v>131960</v>
      </c>
      <c r="D18" s="11"/>
      <c r="E18" s="11"/>
      <c r="F18" s="11">
        <v>980</v>
      </c>
      <c r="G18" s="11">
        <f t="shared" si="0"/>
        <v>132940</v>
      </c>
      <c r="H18" s="17">
        <f t="shared" si="1"/>
        <v>82.98</v>
      </c>
      <c r="I18" s="16">
        <f t="shared" si="2"/>
        <v>0.25</v>
      </c>
      <c r="J18" s="16">
        <f>ROUND(G18/121740-1,2)</f>
        <v>0.09</v>
      </c>
    </row>
    <row r="19" spans="1:10" x14ac:dyDescent="0.25">
      <c r="A19" s="1" t="s">
        <v>16</v>
      </c>
      <c r="B19" s="1" t="s">
        <v>27</v>
      </c>
      <c r="C19" s="11"/>
      <c r="D19" s="11"/>
      <c r="E19" s="11">
        <v>907</v>
      </c>
      <c r="F19" s="11"/>
      <c r="G19" s="11">
        <f t="shared" si="0"/>
        <v>907</v>
      </c>
      <c r="H19" s="17">
        <f t="shared" si="1"/>
        <v>0.56999999999999995</v>
      </c>
      <c r="I19" s="16">
        <f t="shared" si="2"/>
        <v>2E-3</v>
      </c>
      <c r="J19" s="16">
        <f>ROUND(G19/731-1,2)</f>
        <v>0.24</v>
      </c>
    </row>
    <row r="20" spans="1:10" x14ac:dyDescent="0.25">
      <c r="A20" s="1" t="s">
        <v>16</v>
      </c>
      <c r="B20" s="1" t="s">
        <v>28</v>
      </c>
      <c r="C20" s="11"/>
      <c r="D20" s="11"/>
      <c r="E20" s="11">
        <v>439</v>
      </c>
      <c r="F20" s="11"/>
      <c r="G20" s="11">
        <f t="shared" si="0"/>
        <v>439</v>
      </c>
      <c r="H20" s="17">
        <f t="shared" si="1"/>
        <v>0.27</v>
      </c>
      <c r="I20" s="16">
        <f t="shared" si="2"/>
        <v>1E-3</v>
      </c>
      <c r="J20" s="16">
        <f>ROUND(G20/334-1,2)</f>
        <v>0.31</v>
      </c>
    </row>
    <row r="21" spans="1:10" x14ac:dyDescent="0.25">
      <c r="A21" s="1" t="s">
        <v>16</v>
      </c>
      <c r="B21" s="1" t="s">
        <v>29</v>
      </c>
      <c r="C21" s="11"/>
      <c r="D21" s="11"/>
      <c r="E21" s="11">
        <v>87</v>
      </c>
      <c r="F21" s="11"/>
      <c r="G21" s="11">
        <f t="shared" si="0"/>
        <v>87</v>
      </c>
      <c r="H21" s="17">
        <f t="shared" si="1"/>
        <v>0.05</v>
      </c>
      <c r="I21" s="16">
        <f t="shared" si="2"/>
        <v>0</v>
      </c>
      <c r="J21" s="16"/>
    </row>
    <row r="22" spans="1:10" x14ac:dyDescent="0.25">
      <c r="A22" s="1" t="s">
        <v>16</v>
      </c>
      <c r="B22" s="1" t="s">
        <v>30</v>
      </c>
      <c r="C22" s="11"/>
      <c r="D22" s="11"/>
      <c r="E22" s="11">
        <v>1640</v>
      </c>
      <c r="F22" s="11"/>
      <c r="G22" s="11">
        <f t="shared" si="0"/>
        <v>1640</v>
      </c>
      <c r="H22" s="17">
        <f t="shared" si="1"/>
        <v>1.02</v>
      </c>
      <c r="I22" s="16">
        <f t="shared" si="2"/>
        <v>3.0000000000000001E-3</v>
      </c>
      <c r="J22" s="16">
        <f>ROUND(G22/1960-1,2)</f>
        <v>-0.16</v>
      </c>
    </row>
    <row r="23" spans="1:10" x14ac:dyDescent="0.25">
      <c r="A23" s="1" t="s">
        <v>16</v>
      </c>
      <c r="B23" s="1" t="s">
        <v>31</v>
      </c>
      <c r="C23" s="11"/>
      <c r="D23" s="11"/>
      <c r="E23" s="11">
        <v>590</v>
      </c>
      <c r="F23" s="11"/>
      <c r="G23" s="11">
        <f t="shared" si="0"/>
        <v>590</v>
      </c>
      <c r="H23" s="17">
        <f t="shared" si="1"/>
        <v>0.37</v>
      </c>
      <c r="I23" s="16">
        <f t="shared" si="2"/>
        <v>1E-3</v>
      </c>
      <c r="J23" s="16">
        <f>ROUND(G23/780-1,2)</f>
        <v>-0.24</v>
      </c>
    </row>
    <row r="24" spans="1:10" x14ac:dyDescent="0.25">
      <c r="A24" s="1" t="s">
        <v>16</v>
      </c>
      <c r="B24" s="1" t="s">
        <v>33</v>
      </c>
      <c r="C24" s="11"/>
      <c r="D24" s="11"/>
      <c r="E24" s="11">
        <v>810</v>
      </c>
      <c r="F24" s="11"/>
      <c r="G24" s="11">
        <f t="shared" si="0"/>
        <v>810</v>
      </c>
      <c r="H24" s="17">
        <f t="shared" si="1"/>
        <v>0.51</v>
      </c>
      <c r="I24" s="16">
        <f t="shared" si="2"/>
        <v>2E-3</v>
      </c>
      <c r="J24" s="16">
        <f>ROUND(G24/1225-1,2)</f>
        <v>-0.34</v>
      </c>
    </row>
    <row r="25" spans="1:10" x14ac:dyDescent="0.25">
      <c r="A25" s="1" t="s">
        <v>16</v>
      </c>
      <c r="B25" s="1" t="s">
        <v>34</v>
      </c>
      <c r="C25" s="11"/>
      <c r="D25" s="11">
        <v>96</v>
      </c>
      <c r="E25" s="11">
        <v>57</v>
      </c>
      <c r="F25" s="11"/>
      <c r="G25" s="11">
        <f t="shared" si="0"/>
        <v>153</v>
      </c>
      <c r="H25" s="17">
        <f t="shared" si="1"/>
        <v>0.1</v>
      </c>
      <c r="I25" s="16">
        <f t="shared" si="2"/>
        <v>0</v>
      </c>
      <c r="J25" s="16">
        <f>ROUND(G25/189-1,2)</f>
        <v>-0.19</v>
      </c>
    </row>
    <row r="26" spans="1:10" x14ac:dyDescent="0.25">
      <c r="A26" s="1" t="s">
        <v>16</v>
      </c>
      <c r="B26" s="1" t="s">
        <v>35</v>
      </c>
      <c r="C26" s="11"/>
      <c r="D26" s="11"/>
      <c r="E26" s="11">
        <v>1696</v>
      </c>
      <c r="F26" s="11"/>
      <c r="G26" s="11">
        <f t="shared" si="0"/>
        <v>1696</v>
      </c>
      <c r="H26" s="17">
        <f t="shared" si="1"/>
        <v>1.06</v>
      </c>
      <c r="I26" s="16">
        <f t="shared" si="2"/>
        <v>3.0000000000000001E-3</v>
      </c>
      <c r="J26" s="16">
        <f>ROUND(G26/890-1,2)</f>
        <v>0.91</v>
      </c>
    </row>
    <row r="27" spans="1:10" x14ac:dyDescent="0.25">
      <c r="A27" s="1" t="s">
        <v>16</v>
      </c>
      <c r="B27" s="1" t="s">
        <v>37</v>
      </c>
      <c r="C27" s="11"/>
      <c r="D27" s="11"/>
      <c r="E27" s="11">
        <v>1380</v>
      </c>
      <c r="F27" s="11"/>
      <c r="G27" s="11">
        <f t="shared" si="0"/>
        <v>1380</v>
      </c>
      <c r="H27" s="17">
        <f t="shared" si="1"/>
        <v>0.86</v>
      </c>
      <c r="I27" s="16">
        <f t="shared" si="2"/>
        <v>3.0000000000000001E-3</v>
      </c>
      <c r="J27" s="16">
        <f>ROUND(G27/960-1,2)</f>
        <v>0.44</v>
      </c>
    </row>
    <row r="28" spans="1:10" x14ac:dyDescent="0.25">
      <c r="A28" s="1" t="s">
        <v>16</v>
      </c>
      <c r="B28" s="1" t="s">
        <v>39</v>
      </c>
      <c r="C28" s="11"/>
      <c r="D28" s="11"/>
      <c r="E28" s="11">
        <v>4790</v>
      </c>
      <c r="F28" s="11"/>
      <c r="G28" s="11">
        <f t="shared" si="0"/>
        <v>4790</v>
      </c>
      <c r="H28" s="17">
        <f t="shared" si="1"/>
        <v>2.99</v>
      </c>
      <c r="I28" s="16">
        <f t="shared" si="2"/>
        <v>8.9999999999999993E-3</v>
      </c>
      <c r="J28" s="16">
        <f>ROUND(G28/6810-1,2)</f>
        <v>-0.3</v>
      </c>
    </row>
    <row r="29" spans="1:10" x14ac:dyDescent="0.25">
      <c r="A29" s="1" t="s">
        <v>16</v>
      </c>
      <c r="B29" s="1" t="s">
        <v>38</v>
      </c>
      <c r="C29" s="11"/>
      <c r="D29" s="11"/>
      <c r="E29" s="11">
        <v>1030</v>
      </c>
      <c r="F29" s="11"/>
      <c r="G29" s="11">
        <f t="shared" si="0"/>
        <v>1030</v>
      </c>
      <c r="H29" s="17">
        <f t="shared" si="1"/>
        <v>0.64</v>
      </c>
      <c r="I29" s="16">
        <f t="shared" si="2"/>
        <v>2E-3</v>
      </c>
      <c r="J29" s="16">
        <f>ROUND(G29/4840-1,2)</f>
        <v>-0.79</v>
      </c>
    </row>
    <row r="30" spans="1:10" x14ac:dyDescent="0.25">
      <c r="A30" s="1" t="s">
        <v>16</v>
      </c>
      <c r="B30" s="1" t="s">
        <v>40</v>
      </c>
      <c r="C30" s="11"/>
      <c r="D30" s="11"/>
      <c r="E30" s="11">
        <v>32055</v>
      </c>
      <c r="F30" s="11"/>
      <c r="G30" s="11">
        <f t="shared" si="0"/>
        <v>32055</v>
      </c>
      <c r="H30" s="17">
        <f t="shared" si="1"/>
        <v>20.010000000000002</v>
      </c>
      <c r="I30" s="16">
        <f t="shared" si="2"/>
        <v>0.06</v>
      </c>
      <c r="J30" s="16">
        <f>ROUND(G30/28270-1,2)</f>
        <v>0.13</v>
      </c>
    </row>
    <row r="31" spans="1:10" x14ac:dyDescent="0.25">
      <c r="A31" s="1" t="s">
        <v>16</v>
      </c>
      <c r="B31" s="1" t="s">
        <v>41</v>
      </c>
      <c r="C31" s="11"/>
      <c r="D31" s="11"/>
      <c r="E31" s="11">
        <v>1740</v>
      </c>
      <c r="F31" s="11"/>
      <c r="G31" s="11">
        <f t="shared" si="0"/>
        <v>1740</v>
      </c>
      <c r="H31" s="17">
        <f t="shared" si="1"/>
        <v>1.0900000000000001</v>
      </c>
      <c r="I31" s="16">
        <f t="shared" si="2"/>
        <v>3.0000000000000001E-3</v>
      </c>
      <c r="J31" s="16">
        <f>ROUND(G31/1940-1,2)</f>
        <v>-0.1</v>
      </c>
    </row>
    <row r="32" spans="1:10" x14ac:dyDescent="0.25">
      <c r="A32" s="1" t="s">
        <v>16</v>
      </c>
      <c r="B32" s="1" t="s">
        <v>42</v>
      </c>
      <c r="C32" s="11"/>
      <c r="D32" s="11"/>
      <c r="E32" s="11">
        <v>8790</v>
      </c>
      <c r="F32" s="11"/>
      <c r="G32" s="11">
        <f t="shared" si="0"/>
        <v>8790</v>
      </c>
      <c r="H32" s="17">
        <f t="shared" si="1"/>
        <v>5.49</v>
      </c>
      <c r="I32" s="16">
        <f t="shared" si="2"/>
        <v>1.7000000000000001E-2</v>
      </c>
      <c r="J32" s="16">
        <f>ROUND(G32/8520-1,2)</f>
        <v>0.03</v>
      </c>
    </row>
    <row r="33" spans="1:10" x14ac:dyDescent="0.25">
      <c r="A33" s="1" t="s">
        <v>16</v>
      </c>
      <c r="B33" s="1" t="s">
        <v>44</v>
      </c>
      <c r="C33" s="11"/>
      <c r="D33" s="11"/>
      <c r="E33" s="11">
        <v>55480</v>
      </c>
      <c r="F33" s="11">
        <v>14360</v>
      </c>
      <c r="G33" s="11">
        <f t="shared" si="0"/>
        <v>69840</v>
      </c>
      <c r="H33" s="17">
        <f t="shared" si="1"/>
        <v>43.6</v>
      </c>
      <c r="I33" s="16">
        <f t="shared" si="2"/>
        <v>0.13100000000000001</v>
      </c>
      <c r="J33" s="16">
        <f>ROUND(G33/46660-1,2)</f>
        <v>0.5</v>
      </c>
    </row>
    <row r="34" spans="1:10" x14ac:dyDescent="0.25">
      <c r="A34" s="1" t="s">
        <v>16</v>
      </c>
      <c r="B34" s="1" t="s">
        <v>36</v>
      </c>
      <c r="C34" s="11"/>
      <c r="D34" s="11"/>
      <c r="E34" s="11"/>
      <c r="F34" s="11"/>
      <c r="G34" s="11">
        <f t="shared" si="0"/>
        <v>0</v>
      </c>
      <c r="H34" s="17">
        <f t="shared" si="1"/>
        <v>0</v>
      </c>
      <c r="I34" s="16">
        <f t="shared" si="2"/>
        <v>0</v>
      </c>
      <c r="J34" s="16">
        <f>ROUND(G34/150-1,2)</f>
        <v>-1</v>
      </c>
    </row>
    <row r="35" spans="1:10" x14ac:dyDescent="0.25">
      <c r="A35" s="1" t="s">
        <v>16</v>
      </c>
      <c r="B35" s="1" t="s">
        <v>32</v>
      </c>
      <c r="C35" s="11"/>
      <c r="D35" s="11"/>
      <c r="E35" s="11"/>
      <c r="F35" s="11"/>
      <c r="G35" s="11">
        <f t="shared" si="0"/>
        <v>0</v>
      </c>
      <c r="H35" s="17">
        <f t="shared" si="1"/>
        <v>0</v>
      </c>
      <c r="I35" s="16">
        <f t="shared" si="2"/>
        <v>0</v>
      </c>
      <c r="J35" s="16"/>
    </row>
    <row r="36" spans="1:10" x14ac:dyDescent="0.25">
      <c r="A36" s="1" t="s">
        <v>45</v>
      </c>
      <c r="B36" s="1" t="s">
        <v>46</v>
      </c>
      <c r="C36" s="11">
        <v>59475</v>
      </c>
      <c r="D36" s="11"/>
      <c r="E36" s="11"/>
      <c r="F36" s="11"/>
      <c r="G36" s="11">
        <f t="shared" si="0"/>
        <v>59475</v>
      </c>
      <c r="H36" s="17">
        <f t="shared" si="1"/>
        <v>37.130000000000003</v>
      </c>
      <c r="I36" s="16">
        <f t="shared" si="2"/>
        <v>0.112</v>
      </c>
      <c r="J36" s="16">
        <f>ROUND(G36/56965-1,2)</f>
        <v>0.04</v>
      </c>
    </row>
    <row r="37" spans="1:10" x14ac:dyDescent="0.25">
      <c r="A37" s="1" t="s">
        <v>45</v>
      </c>
      <c r="B37" s="1" t="s">
        <v>48</v>
      </c>
      <c r="C37" s="11"/>
      <c r="D37" s="11"/>
      <c r="E37" s="11"/>
      <c r="F37" s="11">
        <v>14640</v>
      </c>
      <c r="G37" s="11">
        <f t="shared" si="0"/>
        <v>14640</v>
      </c>
      <c r="H37" s="17">
        <f t="shared" si="1"/>
        <v>9.14</v>
      </c>
      <c r="I37" s="16">
        <f t="shared" si="2"/>
        <v>2.8000000000000001E-2</v>
      </c>
      <c r="J37" s="16">
        <f>ROUND(G37/10720-1,2)</f>
        <v>0.37</v>
      </c>
    </row>
    <row r="38" spans="1:10" x14ac:dyDescent="0.25">
      <c r="A38" s="1" t="s">
        <v>45</v>
      </c>
      <c r="B38" s="1" t="s">
        <v>47</v>
      </c>
      <c r="C38" s="11"/>
      <c r="D38" s="11"/>
      <c r="E38" s="11">
        <v>22240</v>
      </c>
      <c r="F38" s="11"/>
      <c r="G38" s="11">
        <f t="shared" si="0"/>
        <v>22240</v>
      </c>
      <c r="H38" s="17">
        <f t="shared" si="1"/>
        <v>13.88</v>
      </c>
      <c r="I38" s="16">
        <f t="shared" si="2"/>
        <v>4.2000000000000003E-2</v>
      </c>
      <c r="J38" s="16">
        <f>ROUND(G38/20790-1,2)</f>
        <v>7.0000000000000007E-2</v>
      </c>
    </row>
    <row r="39" spans="1:10" x14ac:dyDescent="0.25">
      <c r="A39" s="1" t="s">
        <v>49</v>
      </c>
      <c r="B39" s="1" t="s">
        <v>52</v>
      </c>
      <c r="C39" s="11"/>
      <c r="D39" s="11"/>
      <c r="E39" s="11"/>
      <c r="F39" s="11"/>
      <c r="G39" s="11">
        <f t="shared" si="0"/>
        <v>0</v>
      </c>
      <c r="H39" s="17">
        <f t="shared" si="1"/>
        <v>0</v>
      </c>
      <c r="I39" s="16">
        <f t="shared" si="2"/>
        <v>0</v>
      </c>
      <c r="J39" s="16"/>
    </row>
    <row r="40" spans="1:10" x14ac:dyDescent="0.25">
      <c r="A40" s="26" t="s">
        <v>12</v>
      </c>
      <c r="B40" s="26"/>
      <c r="C40" s="12">
        <f t="shared" ref="C40:H40" si="3">SUM(C8:C39)</f>
        <v>349595</v>
      </c>
      <c r="D40" s="12">
        <f t="shared" si="3"/>
        <v>96</v>
      </c>
      <c r="E40" s="12">
        <f t="shared" si="3"/>
        <v>151398</v>
      </c>
      <c r="F40" s="12">
        <f t="shared" si="3"/>
        <v>30580</v>
      </c>
      <c r="G40" s="12">
        <f t="shared" si="3"/>
        <v>531669</v>
      </c>
      <c r="H40" s="15">
        <f t="shared" si="3"/>
        <v>331.90000000000003</v>
      </c>
      <c r="I40" s="18"/>
      <c r="J40" s="18"/>
    </row>
    <row r="41" spans="1:10" x14ac:dyDescent="0.25">
      <c r="A41" s="26" t="s">
        <v>14</v>
      </c>
      <c r="B41" s="26"/>
      <c r="C41" s="13">
        <f>ROUND(C40/G40,2)</f>
        <v>0.66</v>
      </c>
      <c r="D41" s="13">
        <f>ROUND(D40/G40,2)</f>
        <v>0</v>
      </c>
      <c r="E41" s="13">
        <f>ROUND(E40/G40,2)</f>
        <v>0.28000000000000003</v>
      </c>
      <c r="F41" s="13">
        <f>ROUND(F40/G40,2)</f>
        <v>0.06</v>
      </c>
      <c r="G41" s="14"/>
      <c r="H41" s="14"/>
      <c r="I41" s="18"/>
      <c r="J41" s="18"/>
    </row>
    <row r="42" spans="1:10" x14ac:dyDescent="0.25">
      <c r="A42" s="2" t="s">
        <v>53</v>
      </c>
      <c r="B42" s="2"/>
      <c r="C42" s="14"/>
      <c r="D42" s="14"/>
      <c r="E42" s="14"/>
      <c r="F42" s="14"/>
      <c r="G42" s="14"/>
      <c r="H42" s="14"/>
      <c r="I42" s="18"/>
      <c r="J42" s="18"/>
    </row>
    <row r="43" spans="1:10" x14ac:dyDescent="0.25">
      <c r="C43" s="9"/>
      <c r="D43" s="9"/>
      <c r="E43" s="9"/>
      <c r="F43" s="9"/>
      <c r="G43" s="9"/>
      <c r="H43" s="9"/>
      <c r="I43" s="10"/>
      <c r="J43" s="10"/>
    </row>
    <row r="44" spans="1:10" x14ac:dyDescent="0.25">
      <c r="C44" s="9"/>
      <c r="D44" s="9"/>
      <c r="E44" s="9"/>
      <c r="F44" s="9"/>
      <c r="G44" s="9"/>
      <c r="H44" s="9"/>
      <c r="I44" s="10"/>
      <c r="J44" s="10"/>
    </row>
    <row r="45" spans="1:10" x14ac:dyDescent="0.25">
      <c r="C45" s="9"/>
      <c r="D45" s="9"/>
      <c r="E45" s="9"/>
      <c r="F45" s="9"/>
      <c r="G45" s="9"/>
      <c r="H45" s="9"/>
      <c r="I45" s="10"/>
      <c r="J45" s="10"/>
    </row>
    <row r="46" spans="1:10" x14ac:dyDescent="0.25">
      <c r="A46" s="26" t="s">
        <v>54</v>
      </c>
      <c r="B46" s="26"/>
      <c r="C46" s="12" t="s">
        <v>8</v>
      </c>
      <c r="D46" s="12" t="s">
        <v>9</v>
      </c>
      <c r="E46" s="12" t="s">
        <v>10</v>
      </c>
      <c r="F46" s="12" t="s">
        <v>11</v>
      </c>
      <c r="G46" s="12" t="s">
        <v>12</v>
      </c>
      <c r="H46" s="15" t="s">
        <v>13</v>
      </c>
      <c r="I46" s="18"/>
      <c r="J46" s="18"/>
    </row>
    <row r="47" spans="1:10" x14ac:dyDescent="0.25">
      <c r="A47" s="21" t="s">
        <v>55</v>
      </c>
      <c r="B47" s="21"/>
      <c r="C47" s="11">
        <v>290120</v>
      </c>
      <c r="D47" s="11">
        <v>96</v>
      </c>
      <c r="E47" s="11">
        <v>129158</v>
      </c>
      <c r="F47" s="11">
        <v>15940</v>
      </c>
      <c r="G47" s="11">
        <f>SUM(C47:F47)</f>
        <v>435314</v>
      </c>
      <c r="H47" s="17">
        <f>ROUND(G47/1602,2)</f>
        <v>271.73</v>
      </c>
      <c r="I47" s="10"/>
      <c r="J47" s="10"/>
    </row>
    <row r="48" spans="1:10" x14ac:dyDescent="0.25">
      <c r="A48" s="21" t="s">
        <v>56</v>
      </c>
      <c r="B48" s="21"/>
      <c r="C48" s="11">
        <v>59475</v>
      </c>
      <c r="D48" s="11">
        <v>0</v>
      </c>
      <c r="E48" s="11">
        <v>22240</v>
      </c>
      <c r="F48" s="11">
        <v>14640</v>
      </c>
      <c r="G48" s="11">
        <f>SUM(C48:F48)</f>
        <v>96355</v>
      </c>
      <c r="H48" s="17">
        <f>ROUND(G48/1602,2)</f>
        <v>60.15</v>
      </c>
      <c r="I48" s="10"/>
      <c r="J48" s="10"/>
    </row>
    <row r="49" spans="1:10" x14ac:dyDescent="0.25">
      <c r="A49" s="21" t="s">
        <v>57</v>
      </c>
      <c r="B49" s="21"/>
      <c r="C49" s="11">
        <v>0</v>
      </c>
      <c r="D49" s="11">
        <v>0</v>
      </c>
      <c r="E49" s="11">
        <v>0</v>
      </c>
      <c r="F49" s="11">
        <v>0</v>
      </c>
      <c r="G49" s="11">
        <f>SUM(C49:F49)</f>
        <v>0</v>
      </c>
      <c r="H49" s="17">
        <f>ROUND(G49/1602,2)</f>
        <v>0</v>
      </c>
      <c r="I49" s="10"/>
      <c r="J49" s="10"/>
    </row>
    <row r="50" spans="1:10" x14ac:dyDescent="0.25">
      <c r="C50" s="9"/>
      <c r="D50" s="9"/>
      <c r="E50" s="9"/>
      <c r="F50" s="9"/>
      <c r="G50" s="9"/>
      <c r="H50" s="9"/>
      <c r="I50" s="10"/>
      <c r="J50" s="10"/>
    </row>
    <row r="51" spans="1:10" x14ac:dyDescent="0.25">
      <c r="C51" s="9"/>
      <c r="D51" s="9"/>
      <c r="E51" s="9"/>
      <c r="F51" s="9"/>
      <c r="G51" s="9"/>
      <c r="H51" s="9"/>
      <c r="I51" s="10"/>
      <c r="J51" s="10"/>
    </row>
    <row r="52" spans="1:10" x14ac:dyDescent="0.25">
      <c r="C52" s="9"/>
      <c r="D52" s="9"/>
      <c r="E52" s="9"/>
      <c r="F52" s="9"/>
      <c r="G52" s="9"/>
      <c r="H52" s="9"/>
      <c r="I52" s="10"/>
      <c r="J52" s="10"/>
    </row>
    <row r="53" spans="1:10" x14ac:dyDescent="0.25">
      <c r="C53" s="9"/>
      <c r="D53" s="9"/>
      <c r="E53" s="9"/>
      <c r="F53" s="9"/>
      <c r="G53" s="9"/>
      <c r="H53" s="9"/>
      <c r="I53" s="10"/>
      <c r="J53" s="10"/>
    </row>
    <row r="54" spans="1:10" x14ac:dyDescent="0.25">
      <c r="A54" s="26" t="s">
        <v>58</v>
      </c>
      <c r="B54" s="26"/>
      <c r="C54" s="15" t="s">
        <v>2</v>
      </c>
      <c r="D54" s="15">
        <v>2024</v>
      </c>
      <c r="E54" s="15" t="s">
        <v>60</v>
      </c>
      <c r="F54" s="14"/>
      <c r="G54" s="15" t="s">
        <v>61</v>
      </c>
      <c r="H54" s="15" t="s">
        <v>2</v>
      </c>
      <c r="I54" s="13" t="s">
        <v>62</v>
      </c>
      <c r="J54" s="13" t="s">
        <v>60</v>
      </c>
    </row>
    <row r="55" spans="1:10" x14ac:dyDescent="0.25">
      <c r="A55" s="21" t="s">
        <v>59</v>
      </c>
      <c r="B55" s="21"/>
      <c r="C55" s="16">
        <f>ROUND(0.8848, 4)</f>
        <v>0.88480000000000003</v>
      </c>
      <c r="D55" s="16">
        <f>ROUND(0.8719, 4)</f>
        <v>0.87190000000000001</v>
      </c>
      <c r="E55" s="16">
        <f>ROUND(0.7856, 4)</f>
        <v>0.78559999999999997</v>
      </c>
      <c r="F55" s="9"/>
      <c r="G55" s="15" t="s">
        <v>63</v>
      </c>
      <c r="H55" s="27" t="s">
        <v>64</v>
      </c>
      <c r="I55" s="24" t="s">
        <v>65</v>
      </c>
      <c r="J55" s="24" t="s">
        <v>66</v>
      </c>
    </row>
    <row r="56" spans="1:10" x14ac:dyDescent="0.25">
      <c r="A56" s="21" t="s">
        <v>67</v>
      </c>
      <c r="B56" s="21"/>
      <c r="C56" s="16">
        <f>ROUND(0.8848, 4)</f>
        <v>0.88480000000000003</v>
      </c>
      <c r="D56" s="16">
        <f>ROUND(0.8599, 4)</f>
        <v>0.8599</v>
      </c>
      <c r="E56" s="16">
        <f>ROUND(0.7702, 4)</f>
        <v>0.7702</v>
      </c>
      <c r="F56" s="9"/>
      <c r="G56" s="15" t="s">
        <v>68</v>
      </c>
      <c r="H56" s="28"/>
      <c r="I56" s="25"/>
      <c r="J56" s="25"/>
    </row>
    <row r="57" spans="1:10" x14ac:dyDescent="0.25">
      <c r="C57" s="9"/>
      <c r="D57" s="9"/>
      <c r="E57" s="9"/>
      <c r="F57" s="9"/>
      <c r="G57" s="9"/>
      <c r="H57" s="9"/>
      <c r="I57" s="10"/>
      <c r="J57" s="10"/>
    </row>
    <row r="58" spans="1:10" x14ac:dyDescent="0.25">
      <c r="C58" s="9"/>
      <c r="D58" s="9"/>
      <c r="E58" s="9"/>
      <c r="F58" s="9"/>
      <c r="G58" s="9"/>
      <c r="H58" s="9"/>
      <c r="I58" s="10"/>
      <c r="J58" s="10"/>
    </row>
    <row r="59" spans="1:10" x14ac:dyDescent="0.25">
      <c r="C59" s="9"/>
      <c r="D59" s="9"/>
      <c r="E59" s="9"/>
      <c r="F59" s="9"/>
      <c r="G59" s="9"/>
      <c r="H59" s="9"/>
      <c r="I59" s="10"/>
      <c r="J59" s="10"/>
    </row>
    <row r="60" spans="1:10" x14ac:dyDescent="0.25">
      <c r="A60" s="26" t="s">
        <v>69</v>
      </c>
      <c r="B60" s="26"/>
      <c r="C60" s="15" t="s">
        <v>2</v>
      </c>
      <c r="D60" s="15" t="s">
        <v>213</v>
      </c>
      <c r="E60" s="15" t="s">
        <v>71</v>
      </c>
      <c r="F60" s="15" t="s">
        <v>72</v>
      </c>
      <c r="G60" s="15" t="s">
        <v>73</v>
      </c>
      <c r="H60" s="14"/>
      <c r="I60" s="18"/>
      <c r="J60" s="18"/>
    </row>
    <row r="61" spans="1:10" x14ac:dyDescent="0.25">
      <c r="A61" s="21" t="s">
        <v>74</v>
      </c>
      <c r="B61" s="21"/>
      <c r="C61" s="17">
        <v>37.130000000000003</v>
      </c>
      <c r="D61" s="17">
        <v>36.520000000000003</v>
      </c>
      <c r="E61" s="17">
        <v>96.15</v>
      </c>
      <c r="F61" s="17">
        <v>57.94</v>
      </c>
      <c r="G61" s="17">
        <f>12/12*C61</f>
        <v>37.130000000000003</v>
      </c>
      <c r="H61" s="9"/>
      <c r="I61" s="10"/>
      <c r="J61" s="10"/>
    </row>
    <row r="62" spans="1:10" x14ac:dyDescent="0.25">
      <c r="A62" s="21" t="s">
        <v>75</v>
      </c>
      <c r="B62" s="21"/>
      <c r="C62" s="17">
        <v>82.98</v>
      </c>
      <c r="D62" s="17">
        <v>82.73</v>
      </c>
      <c r="E62" s="17">
        <v>62.28</v>
      </c>
      <c r="F62" s="17">
        <v>66.599999999999994</v>
      </c>
      <c r="G62" s="17">
        <f>12/12*C62</f>
        <v>82.98</v>
      </c>
      <c r="H62" s="9"/>
      <c r="I62" s="10"/>
      <c r="J62" s="10"/>
    </row>
    <row r="63" spans="1:10" x14ac:dyDescent="0.25">
      <c r="A63" s="21" t="s">
        <v>76</v>
      </c>
      <c r="B63" s="21"/>
      <c r="C63" s="17">
        <v>271.73</v>
      </c>
      <c r="D63" s="17">
        <v>252.39</v>
      </c>
      <c r="E63" s="17">
        <v>300.02</v>
      </c>
      <c r="F63" s="17">
        <v>295.08</v>
      </c>
      <c r="G63" s="17">
        <f>12/12*C63</f>
        <v>271.73</v>
      </c>
      <c r="H63" s="9"/>
      <c r="I63" s="10"/>
      <c r="J63" s="10"/>
    </row>
    <row r="64" spans="1:10" x14ac:dyDescent="0.25">
      <c r="A64" s="21" t="s">
        <v>77</v>
      </c>
      <c r="B64" s="21"/>
      <c r="C64" s="17">
        <v>60.15</v>
      </c>
      <c r="D64" s="17">
        <v>56.17</v>
      </c>
      <c r="E64" s="17">
        <v>120.96</v>
      </c>
      <c r="F64" s="17">
        <v>83.12</v>
      </c>
      <c r="G64" s="17">
        <f>12/12*C64</f>
        <v>60.15</v>
      </c>
      <c r="H64" s="9"/>
      <c r="I64" s="10"/>
      <c r="J64" s="10"/>
    </row>
    <row r="65" spans="1:10" x14ac:dyDescent="0.25">
      <c r="C65" s="9"/>
      <c r="D65" s="9"/>
      <c r="E65" s="9"/>
      <c r="F65" s="9"/>
      <c r="G65" s="9"/>
      <c r="H65" s="9"/>
      <c r="I65" s="10"/>
      <c r="J65" s="10"/>
    </row>
    <row r="67" spans="1:10" x14ac:dyDescent="0.25">
      <c r="A67" s="22" t="s">
        <v>61</v>
      </c>
      <c r="B67" s="23"/>
    </row>
    <row r="68" spans="1:10" x14ac:dyDescent="0.25">
      <c r="A68" s="3" t="s">
        <v>78</v>
      </c>
      <c r="B68" s="1" t="s">
        <v>214</v>
      </c>
    </row>
    <row r="69" spans="1:10" x14ac:dyDescent="0.25">
      <c r="A69" s="3" t="s">
        <v>71</v>
      </c>
      <c r="B69" s="1" t="s">
        <v>80</v>
      </c>
    </row>
    <row r="70" spans="1:10" x14ac:dyDescent="0.25">
      <c r="A70" s="3" t="s">
        <v>72</v>
      </c>
      <c r="B70" s="1" t="s">
        <v>81</v>
      </c>
    </row>
    <row r="71" spans="1:10" x14ac:dyDescent="0.25">
      <c r="A71" s="3" t="s">
        <v>73</v>
      </c>
      <c r="B71" s="1" t="s">
        <v>82</v>
      </c>
    </row>
  </sheetData>
  <mergeCells count="19">
    <mergeCell ref="C7:G7"/>
    <mergeCell ref="A40:B40"/>
    <mergeCell ref="A41:B41"/>
    <mergeCell ref="A46:B46"/>
    <mergeCell ref="A47:B47"/>
    <mergeCell ref="J55:J56"/>
    <mergeCell ref="A56:B56"/>
    <mergeCell ref="A60:B60"/>
    <mergeCell ref="A61:B61"/>
    <mergeCell ref="A48:B48"/>
    <mergeCell ref="A49:B49"/>
    <mergeCell ref="A54:B54"/>
    <mergeCell ref="A55:B55"/>
    <mergeCell ref="H55:H56"/>
    <mergeCell ref="A62:B62"/>
    <mergeCell ref="A63:B63"/>
    <mergeCell ref="A64:B64"/>
    <mergeCell ref="A67:B67"/>
    <mergeCell ref="I55:I56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J76"/>
  <sheetViews>
    <sheetView workbookViewId="0">
      <selection activeCell="H5" sqref="H5"/>
    </sheetView>
  </sheetViews>
  <sheetFormatPr defaultRowHeight="15" x14ac:dyDescent="0.25"/>
  <cols>
    <col min="1" max="1" width="28.42578125" bestFit="1" customWidth="1"/>
    <col min="2" max="2" width="59.5703125" bestFit="1" customWidth="1"/>
    <col min="3" max="3" width="12.7109375" bestFit="1" customWidth="1"/>
    <col min="4" max="4" width="26.140625" bestFit="1" customWidth="1"/>
    <col min="5" max="5" width="13.85546875" bestFit="1" customWidth="1"/>
    <col min="6" max="6" width="8.5703125" bestFit="1" customWidth="1"/>
    <col min="7" max="7" width="47.7109375" bestFit="1" customWidth="1"/>
    <col min="8" max="9" width="16.7109375" bestFit="1" customWidth="1"/>
    <col min="10" max="10" width="24.42578125" bestFit="1" customWidth="1"/>
  </cols>
  <sheetData>
    <row r="2" spans="1:10" ht="18.75" x14ac:dyDescent="0.3">
      <c r="A2" s="3" t="s">
        <v>0</v>
      </c>
      <c r="B2" s="4" t="s">
        <v>215</v>
      </c>
    </row>
    <row r="3" spans="1:10" x14ac:dyDescent="0.25">
      <c r="A3" s="3" t="s">
        <v>2</v>
      </c>
      <c r="B3" s="1" t="s">
        <v>3</v>
      </c>
    </row>
    <row r="4" spans="1:10" x14ac:dyDescent="0.25">
      <c r="A4" s="3" t="s">
        <v>4</v>
      </c>
      <c r="B4" s="20">
        <v>483</v>
      </c>
    </row>
    <row r="7" spans="1:10" x14ac:dyDescent="0.25">
      <c r="C7" s="22" t="s">
        <v>5</v>
      </c>
      <c r="D7" s="21"/>
      <c r="E7" s="21"/>
      <c r="F7" s="21"/>
      <c r="G7" s="21"/>
    </row>
    <row r="8" spans="1:10" x14ac:dyDescent="0.25">
      <c r="A8" s="3" t="s">
        <v>6</v>
      </c>
      <c r="B8" s="3" t="s">
        <v>7</v>
      </c>
      <c r="C8" s="15" t="s">
        <v>8</v>
      </c>
      <c r="D8" s="15" t="s">
        <v>9</v>
      </c>
      <c r="E8" s="15" t="s">
        <v>10</v>
      </c>
      <c r="F8" s="15" t="s">
        <v>11</v>
      </c>
      <c r="G8" s="15" t="s">
        <v>12</v>
      </c>
      <c r="H8" s="15" t="s">
        <v>13</v>
      </c>
      <c r="I8" s="15" t="s">
        <v>14</v>
      </c>
      <c r="J8" s="15" t="s">
        <v>15</v>
      </c>
    </row>
    <row r="9" spans="1:10" x14ac:dyDescent="0.25">
      <c r="A9" s="1" t="s">
        <v>16</v>
      </c>
      <c r="B9" s="1" t="s">
        <v>17</v>
      </c>
      <c r="C9" s="11"/>
      <c r="D9" s="11"/>
      <c r="E9" s="11">
        <v>70</v>
      </c>
      <c r="F9" s="11"/>
      <c r="G9" s="11">
        <f t="shared" ref="G9:G33" si="0">SUM(C9:F9)</f>
        <v>70</v>
      </c>
      <c r="H9" s="17">
        <f t="shared" ref="H9:H33" si="1">ROUND(G9/483,2)</f>
        <v>0.14000000000000001</v>
      </c>
      <c r="I9" s="16">
        <f t="shared" ref="I9:I33" si="2">ROUND(G9/$G$34,3)</f>
        <v>0</v>
      </c>
      <c r="J9" s="16"/>
    </row>
    <row r="10" spans="1:10" x14ac:dyDescent="0.25">
      <c r="A10" s="1" t="s">
        <v>16</v>
      </c>
      <c r="B10" s="1" t="s">
        <v>19</v>
      </c>
      <c r="C10" s="11">
        <v>16080</v>
      </c>
      <c r="D10" s="11"/>
      <c r="E10" s="11"/>
      <c r="F10" s="11"/>
      <c r="G10" s="11">
        <f t="shared" si="0"/>
        <v>16080</v>
      </c>
      <c r="H10" s="17">
        <f t="shared" si="1"/>
        <v>33.29</v>
      </c>
      <c r="I10" s="16">
        <f t="shared" si="2"/>
        <v>8.5000000000000006E-2</v>
      </c>
      <c r="J10" s="16">
        <f>ROUND(G10/14160-1,2)</f>
        <v>0.14000000000000001</v>
      </c>
    </row>
    <row r="11" spans="1:10" x14ac:dyDescent="0.25">
      <c r="A11" s="1" t="s">
        <v>16</v>
      </c>
      <c r="B11" s="1" t="s">
        <v>20</v>
      </c>
      <c r="C11" s="11">
        <v>17410</v>
      </c>
      <c r="D11" s="11"/>
      <c r="E11" s="11"/>
      <c r="F11" s="11"/>
      <c r="G11" s="11">
        <f t="shared" si="0"/>
        <v>17410</v>
      </c>
      <c r="H11" s="17">
        <f t="shared" si="1"/>
        <v>36.049999999999997</v>
      </c>
      <c r="I11" s="16">
        <f t="shared" si="2"/>
        <v>9.1999999999999998E-2</v>
      </c>
      <c r="J11" s="16">
        <f>ROUND(G11/20540-1,2)</f>
        <v>-0.15</v>
      </c>
    </row>
    <row r="12" spans="1:10" x14ac:dyDescent="0.25">
      <c r="A12" s="1" t="s">
        <v>16</v>
      </c>
      <c r="B12" s="1" t="s">
        <v>21</v>
      </c>
      <c r="C12" s="11"/>
      <c r="D12" s="11"/>
      <c r="E12" s="11">
        <v>81</v>
      </c>
      <c r="F12" s="11"/>
      <c r="G12" s="11">
        <f t="shared" si="0"/>
        <v>81</v>
      </c>
      <c r="H12" s="17">
        <f t="shared" si="1"/>
        <v>0.17</v>
      </c>
      <c r="I12" s="16">
        <f t="shared" si="2"/>
        <v>0</v>
      </c>
      <c r="J12" s="16">
        <f>ROUND(G12/50-1,2)</f>
        <v>0.62</v>
      </c>
    </row>
    <row r="13" spans="1:10" x14ac:dyDescent="0.25">
      <c r="A13" s="1" t="s">
        <v>16</v>
      </c>
      <c r="B13" s="1" t="s">
        <v>22</v>
      </c>
      <c r="C13" s="11"/>
      <c r="D13" s="11"/>
      <c r="E13" s="11">
        <v>780</v>
      </c>
      <c r="F13" s="11"/>
      <c r="G13" s="11">
        <f t="shared" si="0"/>
        <v>780</v>
      </c>
      <c r="H13" s="17">
        <f t="shared" si="1"/>
        <v>1.61</v>
      </c>
      <c r="I13" s="16">
        <f t="shared" si="2"/>
        <v>4.0000000000000001E-3</v>
      </c>
      <c r="J13" s="16">
        <f>ROUND(G13/700-1,2)</f>
        <v>0.11</v>
      </c>
    </row>
    <row r="14" spans="1:10" x14ac:dyDescent="0.25">
      <c r="A14" s="1" t="s">
        <v>16</v>
      </c>
      <c r="B14" s="1" t="s">
        <v>24</v>
      </c>
      <c r="C14" s="11">
        <v>19320</v>
      </c>
      <c r="D14" s="11"/>
      <c r="E14" s="11">
        <v>2120</v>
      </c>
      <c r="F14" s="11"/>
      <c r="G14" s="11">
        <f t="shared" si="0"/>
        <v>21440</v>
      </c>
      <c r="H14" s="17">
        <f t="shared" si="1"/>
        <v>44.39</v>
      </c>
      <c r="I14" s="16">
        <f t="shared" si="2"/>
        <v>0.114</v>
      </c>
      <c r="J14" s="16">
        <f>ROUND(G14/17590-1,2)</f>
        <v>0.22</v>
      </c>
    </row>
    <row r="15" spans="1:10" x14ac:dyDescent="0.25">
      <c r="A15" s="1" t="s">
        <v>16</v>
      </c>
      <c r="B15" s="1" t="s">
        <v>25</v>
      </c>
      <c r="C15" s="11"/>
      <c r="D15" s="11"/>
      <c r="E15" s="11">
        <v>2240</v>
      </c>
      <c r="F15" s="11"/>
      <c r="G15" s="11">
        <f t="shared" si="0"/>
        <v>2240</v>
      </c>
      <c r="H15" s="17">
        <f t="shared" si="1"/>
        <v>4.6399999999999997</v>
      </c>
      <c r="I15" s="16">
        <f t="shared" si="2"/>
        <v>1.2E-2</v>
      </c>
      <c r="J15" s="16">
        <f>ROUND(G15/1190-1,2)</f>
        <v>0.88</v>
      </c>
    </row>
    <row r="16" spans="1:10" x14ac:dyDescent="0.25">
      <c r="A16" s="1" t="s">
        <v>16</v>
      </c>
      <c r="B16" s="1" t="s">
        <v>26</v>
      </c>
      <c r="C16" s="11">
        <v>11840</v>
      </c>
      <c r="D16" s="11"/>
      <c r="E16" s="11"/>
      <c r="F16" s="11">
        <v>240</v>
      </c>
      <c r="G16" s="11">
        <f t="shared" si="0"/>
        <v>12080</v>
      </c>
      <c r="H16" s="17">
        <f t="shared" si="1"/>
        <v>25.01</v>
      </c>
      <c r="I16" s="16">
        <f t="shared" si="2"/>
        <v>6.4000000000000001E-2</v>
      </c>
      <c r="J16" s="16">
        <f>ROUND(G16/12980-1,2)</f>
        <v>-7.0000000000000007E-2</v>
      </c>
    </row>
    <row r="17" spans="1:10" x14ac:dyDescent="0.25">
      <c r="A17" s="1" t="s">
        <v>16</v>
      </c>
      <c r="B17" s="1" t="s">
        <v>30</v>
      </c>
      <c r="C17" s="11"/>
      <c r="D17" s="11"/>
      <c r="E17" s="11">
        <v>990</v>
      </c>
      <c r="F17" s="11"/>
      <c r="G17" s="11">
        <f t="shared" si="0"/>
        <v>990</v>
      </c>
      <c r="H17" s="17">
        <f t="shared" si="1"/>
        <v>2.0499999999999998</v>
      </c>
      <c r="I17" s="16">
        <f t="shared" si="2"/>
        <v>5.0000000000000001E-3</v>
      </c>
      <c r="J17" s="16">
        <f>ROUND(G17/4370-1,2)</f>
        <v>-0.77</v>
      </c>
    </row>
    <row r="18" spans="1:10" x14ac:dyDescent="0.25">
      <c r="A18" s="1" t="s">
        <v>16</v>
      </c>
      <c r="B18" s="1" t="s">
        <v>31</v>
      </c>
      <c r="C18" s="11"/>
      <c r="D18" s="11"/>
      <c r="E18" s="11">
        <v>190</v>
      </c>
      <c r="F18" s="11"/>
      <c r="G18" s="11">
        <f t="shared" si="0"/>
        <v>190</v>
      </c>
      <c r="H18" s="17">
        <f t="shared" si="1"/>
        <v>0.39</v>
      </c>
      <c r="I18" s="16">
        <f t="shared" si="2"/>
        <v>1E-3</v>
      </c>
      <c r="J18" s="16">
        <f>ROUND(G18/410-1,2)</f>
        <v>-0.54</v>
      </c>
    </row>
    <row r="19" spans="1:10" x14ac:dyDescent="0.25">
      <c r="A19" s="1" t="s">
        <v>16</v>
      </c>
      <c r="B19" s="1" t="s">
        <v>33</v>
      </c>
      <c r="C19" s="11"/>
      <c r="D19" s="11"/>
      <c r="E19" s="11">
        <v>862</v>
      </c>
      <c r="F19" s="11"/>
      <c r="G19" s="11">
        <f t="shared" si="0"/>
        <v>862</v>
      </c>
      <c r="H19" s="17">
        <f t="shared" si="1"/>
        <v>1.78</v>
      </c>
      <c r="I19" s="16">
        <f t="shared" si="2"/>
        <v>5.0000000000000001E-3</v>
      </c>
      <c r="J19" s="16">
        <f>ROUND(G19/540-1,2)</f>
        <v>0.6</v>
      </c>
    </row>
    <row r="20" spans="1:10" x14ac:dyDescent="0.25">
      <c r="A20" s="1" t="s">
        <v>16</v>
      </c>
      <c r="B20" s="1" t="s">
        <v>34</v>
      </c>
      <c r="C20" s="11"/>
      <c r="D20" s="11">
        <v>9</v>
      </c>
      <c r="E20" s="11">
        <v>67</v>
      </c>
      <c r="F20" s="11"/>
      <c r="G20" s="11">
        <f t="shared" si="0"/>
        <v>76</v>
      </c>
      <c r="H20" s="17">
        <f t="shared" si="1"/>
        <v>0.16</v>
      </c>
      <c r="I20" s="16">
        <f t="shared" si="2"/>
        <v>0</v>
      </c>
      <c r="J20" s="16">
        <f>ROUND(G20/79-1,2)</f>
        <v>-0.04</v>
      </c>
    </row>
    <row r="21" spans="1:10" x14ac:dyDescent="0.25">
      <c r="A21" s="1" t="s">
        <v>16</v>
      </c>
      <c r="B21" s="1" t="s">
        <v>35</v>
      </c>
      <c r="C21" s="11"/>
      <c r="D21" s="11"/>
      <c r="E21" s="11">
        <v>1829</v>
      </c>
      <c r="F21" s="11"/>
      <c r="G21" s="11">
        <f t="shared" si="0"/>
        <v>1829</v>
      </c>
      <c r="H21" s="17">
        <f t="shared" si="1"/>
        <v>3.79</v>
      </c>
      <c r="I21" s="16">
        <f t="shared" si="2"/>
        <v>0.01</v>
      </c>
      <c r="J21" s="16">
        <f>ROUND(G21/540-1,2)</f>
        <v>2.39</v>
      </c>
    </row>
    <row r="22" spans="1:10" x14ac:dyDescent="0.25">
      <c r="A22" s="1" t="s">
        <v>16</v>
      </c>
      <c r="B22" s="1" t="s">
        <v>37</v>
      </c>
      <c r="C22" s="11"/>
      <c r="D22" s="11"/>
      <c r="E22" s="11">
        <v>200</v>
      </c>
      <c r="F22" s="11"/>
      <c r="G22" s="11">
        <f t="shared" si="0"/>
        <v>200</v>
      </c>
      <c r="H22" s="17">
        <f t="shared" si="1"/>
        <v>0.41</v>
      </c>
      <c r="I22" s="16">
        <f t="shared" si="2"/>
        <v>1E-3</v>
      </c>
      <c r="J22" s="16">
        <f>ROUND(G22/2010-1,2)</f>
        <v>-0.9</v>
      </c>
    </row>
    <row r="23" spans="1:10" x14ac:dyDescent="0.25">
      <c r="A23" s="1" t="s">
        <v>16</v>
      </c>
      <c r="B23" s="1" t="s">
        <v>39</v>
      </c>
      <c r="C23" s="11"/>
      <c r="D23" s="11"/>
      <c r="E23" s="11">
        <v>4450</v>
      </c>
      <c r="F23" s="11"/>
      <c r="G23" s="11">
        <f t="shared" si="0"/>
        <v>4450</v>
      </c>
      <c r="H23" s="17">
        <f t="shared" si="1"/>
        <v>9.2100000000000009</v>
      </c>
      <c r="I23" s="16">
        <f t="shared" si="2"/>
        <v>2.4E-2</v>
      </c>
      <c r="J23" s="16">
        <f>ROUND(G23/1480-1,2)</f>
        <v>2.0099999999999998</v>
      </c>
    </row>
    <row r="24" spans="1:10" x14ac:dyDescent="0.25">
      <c r="A24" s="1" t="s">
        <v>16</v>
      </c>
      <c r="B24" s="1" t="s">
        <v>40</v>
      </c>
      <c r="C24" s="11"/>
      <c r="D24" s="11"/>
      <c r="E24" s="11">
        <v>22335</v>
      </c>
      <c r="F24" s="11"/>
      <c r="G24" s="11">
        <f t="shared" si="0"/>
        <v>22335</v>
      </c>
      <c r="H24" s="17">
        <f t="shared" si="1"/>
        <v>46.24</v>
      </c>
      <c r="I24" s="16">
        <f t="shared" si="2"/>
        <v>0.11799999999999999</v>
      </c>
      <c r="J24" s="16">
        <f>ROUND(G24/24295-1,2)</f>
        <v>-0.08</v>
      </c>
    </row>
    <row r="25" spans="1:10" x14ac:dyDescent="0.25">
      <c r="A25" s="1" t="s">
        <v>16</v>
      </c>
      <c r="B25" s="1" t="s">
        <v>41</v>
      </c>
      <c r="C25" s="11"/>
      <c r="D25" s="11"/>
      <c r="E25" s="11">
        <v>3620</v>
      </c>
      <c r="F25" s="11"/>
      <c r="G25" s="11">
        <f t="shared" si="0"/>
        <v>3620</v>
      </c>
      <c r="H25" s="17">
        <f t="shared" si="1"/>
        <v>7.49</v>
      </c>
      <c r="I25" s="16">
        <f t="shared" si="2"/>
        <v>1.9E-2</v>
      </c>
      <c r="J25" s="16">
        <f>ROUND(G25/1410-1,2)</f>
        <v>1.57</v>
      </c>
    </row>
    <row r="26" spans="1:10" x14ac:dyDescent="0.25">
      <c r="A26" s="1" t="s">
        <v>16</v>
      </c>
      <c r="B26" s="1" t="s">
        <v>42</v>
      </c>
      <c r="C26" s="11"/>
      <c r="D26" s="11"/>
      <c r="E26" s="11">
        <v>11090</v>
      </c>
      <c r="F26" s="11"/>
      <c r="G26" s="11">
        <f t="shared" si="0"/>
        <v>11090</v>
      </c>
      <c r="H26" s="17">
        <f t="shared" si="1"/>
        <v>22.96</v>
      </c>
      <c r="I26" s="16">
        <f t="shared" si="2"/>
        <v>5.8999999999999997E-2</v>
      </c>
      <c r="J26" s="16">
        <f>ROUND(G26/9140-1,2)</f>
        <v>0.21</v>
      </c>
    </row>
    <row r="27" spans="1:10" x14ac:dyDescent="0.25">
      <c r="A27" s="1" t="s">
        <v>16</v>
      </c>
      <c r="B27" s="1" t="s">
        <v>44</v>
      </c>
      <c r="C27" s="11"/>
      <c r="D27" s="11"/>
      <c r="E27" s="11"/>
      <c r="F27" s="11">
        <v>21190</v>
      </c>
      <c r="G27" s="11">
        <f t="shared" si="0"/>
        <v>21190</v>
      </c>
      <c r="H27" s="17">
        <f t="shared" si="1"/>
        <v>43.87</v>
      </c>
      <c r="I27" s="16">
        <f t="shared" si="2"/>
        <v>0.112</v>
      </c>
      <c r="J27" s="16">
        <f>ROUND(G27/11820-1,2)</f>
        <v>0.79</v>
      </c>
    </row>
    <row r="28" spans="1:10" x14ac:dyDescent="0.25">
      <c r="A28" s="1" t="s">
        <v>16</v>
      </c>
      <c r="B28" s="1" t="s">
        <v>38</v>
      </c>
      <c r="C28" s="11"/>
      <c r="D28" s="11"/>
      <c r="E28" s="11"/>
      <c r="F28" s="11"/>
      <c r="G28" s="11">
        <f t="shared" si="0"/>
        <v>0</v>
      </c>
      <c r="H28" s="17">
        <f t="shared" si="1"/>
        <v>0</v>
      </c>
      <c r="I28" s="16">
        <f t="shared" si="2"/>
        <v>0</v>
      </c>
      <c r="J28" s="16">
        <f>ROUND(G28/4460-1,2)</f>
        <v>-1</v>
      </c>
    </row>
    <row r="29" spans="1:10" x14ac:dyDescent="0.25">
      <c r="A29" s="1" t="s">
        <v>16</v>
      </c>
      <c r="B29" s="1" t="s">
        <v>36</v>
      </c>
      <c r="C29" s="11"/>
      <c r="D29" s="11"/>
      <c r="E29" s="11"/>
      <c r="F29" s="11"/>
      <c r="G29" s="11">
        <f t="shared" si="0"/>
        <v>0</v>
      </c>
      <c r="H29" s="17">
        <f t="shared" si="1"/>
        <v>0</v>
      </c>
      <c r="I29" s="16">
        <f t="shared" si="2"/>
        <v>0</v>
      </c>
      <c r="J29" s="16">
        <f>ROUND(G29/160-1,2)</f>
        <v>-1</v>
      </c>
    </row>
    <row r="30" spans="1:10" x14ac:dyDescent="0.25">
      <c r="A30" s="1" t="s">
        <v>16</v>
      </c>
      <c r="B30" s="1" t="s">
        <v>23</v>
      </c>
      <c r="C30" s="11"/>
      <c r="D30" s="11"/>
      <c r="E30" s="11"/>
      <c r="F30" s="11"/>
      <c r="G30" s="11">
        <f t="shared" si="0"/>
        <v>0</v>
      </c>
      <c r="H30" s="17">
        <f t="shared" si="1"/>
        <v>0</v>
      </c>
      <c r="I30" s="16">
        <f t="shared" si="2"/>
        <v>0</v>
      </c>
      <c r="J30" s="16"/>
    </row>
    <row r="31" spans="1:10" x14ac:dyDescent="0.25">
      <c r="A31" s="1" t="s">
        <v>16</v>
      </c>
      <c r="B31" s="1" t="s">
        <v>32</v>
      </c>
      <c r="C31" s="11"/>
      <c r="D31" s="11"/>
      <c r="E31" s="11"/>
      <c r="F31" s="11"/>
      <c r="G31" s="11">
        <f t="shared" si="0"/>
        <v>0</v>
      </c>
      <c r="H31" s="17">
        <f t="shared" si="1"/>
        <v>0</v>
      </c>
      <c r="I31" s="16">
        <f t="shared" si="2"/>
        <v>0</v>
      </c>
      <c r="J31" s="16"/>
    </row>
    <row r="32" spans="1:10" x14ac:dyDescent="0.25">
      <c r="A32" s="1" t="s">
        <v>45</v>
      </c>
      <c r="B32" s="1" t="s">
        <v>46</v>
      </c>
      <c r="C32" s="11">
        <v>38750</v>
      </c>
      <c r="D32" s="11"/>
      <c r="E32" s="11"/>
      <c r="F32" s="11">
        <v>100</v>
      </c>
      <c r="G32" s="11">
        <f t="shared" si="0"/>
        <v>38850</v>
      </c>
      <c r="H32" s="17">
        <f t="shared" si="1"/>
        <v>80.430000000000007</v>
      </c>
      <c r="I32" s="16">
        <f t="shared" si="2"/>
        <v>0.20599999999999999</v>
      </c>
      <c r="J32" s="16">
        <f>ROUND(G32/41800-1,2)</f>
        <v>-7.0000000000000007E-2</v>
      </c>
    </row>
    <row r="33" spans="1:10" x14ac:dyDescent="0.25">
      <c r="A33" s="1" t="s">
        <v>45</v>
      </c>
      <c r="B33" s="1" t="s">
        <v>47</v>
      </c>
      <c r="C33" s="11"/>
      <c r="D33" s="11"/>
      <c r="E33" s="11">
        <v>12700</v>
      </c>
      <c r="F33" s="11"/>
      <c r="G33" s="11">
        <f t="shared" si="0"/>
        <v>12700</v>
      </c>
      <c r="H33" s="17">
        <f t="shared" si="1"/>
        <v>26.29</v>
      </c>
      <c r="I33" s="16">
        <f t="shared" si="2"/>
        <v>6.7000000000000004E-2</v>
      </c>
      <c r="J33" s="16">
        <f>ROUND(G33/12660-1,2)</f>
        <v>0</v>
      </c>
    </row>
    <row r="34" spans="1:10" x14ac:dyDescent="0.25">
      <c r="A34" s="26" t="s">
        <v>12</v>
      </c>
      <c r="B34" s="26"/>
      <c r="C34" s="12">
        <f t="shared" ref="C34:H34" si="3">SUM(C8:C33)</f>
        <v>103400</v>
      </c>
      <c r="D34" s="12">
        <f t="shared" si="3"/>
        <v>9</v>
      </c>
      <c r="E34" s="12">
        <f t="shared" si="3"/>
        <v>63624</v>
      </c>
      <c r="F34" s="12">
        <f t="shared" si="3"/>
        <v>21530</v>
      </c>
      <c r="G34" s="12">
        <f t="shared" si="3"/>
        <v>188563</v>
      </c>
      <c r="H34" s="15">
        <f t="shared" si="3"/>
        <v>390.37</v>
      </c>
      <c r="I34" s="18"/>
      <c r="J34" s="18"/>
    </row>
    <row r="35" spans="1:10" x14ac:dyDescent="0.25">
      <c r="A35" s="26" t="s">
        <v>14</v>
      </c>
      <c r="B35" s="26"/>
      <c r="C35" s="13">
        <f>ROUND(C34/G34,2)</f>
        <v>0.55000000000000004</v>
      </c>
      <c r="D35" s="13">
        <f>ROUND(D34/G34,2)</f>
        <v>0</v>
      </c>
      <c r="E35" s="13">
        <f>ROUND(E34/G34,2)</f>
        <v>0.34</v>
      </c>
      <c r="F35" s="13">
        <f>ROUND(F34/G34,2)</f>
        <v>0.11</v>
      </c>
      <c r="G35" s="14"/>
      <c r="H35" s="14"/>
      <c r="I35" s="18"/>
      <c r="J35" s="18"/>
    </row>
    <row r="36" spans="1:10" x14ac:dyDescent="0.25">
      <c r="A36" s="2" t="s">
        <v>53</v>
      </c>
      <c r="B36" s="2"/>
      <c r="C36" s="14"/>
      <c r="D36" s="14"/>
      <c r="E36" s="14"/>
      <c r="F36" s="14"/>
      <c r="G36" s="14"/>
      <c r="H36" s="14"/>
      <c r="I36" s="18"/>
      <c r="J36" s="18"/>
    </row>
    <row r="37" spans="1:10" x14ac:dyDescent="0.25">
      <c r="C37" s="9"/>
      <c r="D37" s="9"/>
      <c r="E37" s="9"/>
      <c r="F37" s="9"/>
      <c r="G37" s="9"/>
      <c r="H37" s="9"/>
      <c r="I37" s="10"/>
      <c r="J37" s="10"/>
    </row>
    <row r="38" spans="1:10" x14ac:dyDescent="0.25">
      <c r="C38" s="9"/>
      <c r="D38" s="9"/>
      <c r="E38" s="9"/>
      <c r="F38" s="9"/>
      <c r="G38" s="9"/>
      <c r="H38" s="9"/>
      <c r="I38" s="10"/>
      <c r="J38" s="10"/>
    </row>
    <row r="39" spans="1:10" x14ac:dyDescent="0.25">
      <c r="C39" s="9"/>
      <c r="D39" s="9"/>
      <c r="E39" s="9"/>
      <c r="F39" s="9"/>
      <c r="G39" s="9"/>
      <c r="H39" s="9"/>
      <c r="I39" s="10"/>
      <c r="J39" s="10"/>
    </row>
    <row r="40" spans="1:10" x14ac:dyDescent="0.25">
      <c r="A40" s="26" t="s">
        <v>54</v>
      </c>
      <c r="B40" s="26"/>
      <c r="C40" s="12" t="s">
        <v>8</v>
      </c>
      <c r="D40" s="12" t="s">
        <v>9</v>
      </c>
      <c r="E40" s="12" t="s">
        <v>10</v>
      </c>
      <c r="F40" s="12" t="s">
        <v>11</v>
      </c>
      <c r="G40" s="12" t="s">
        <v>12</v>
      </c>
      <c r="H40" s="15" t="s">
        <v>13</v>
      </c>
      <c r="I40" s="18"/>
      <c r="J40" s="18"/>
    </row>
    <row r="41" spans="1:10" x14ac:dyDescent="0.25">
      <c r="A41" s="21" t="s">
        <v>55</v>
      </c>
      <c r="B41" s="21"/>
      <c r="C41" s="11">
        <v>64650</v>
      </c>
      <c r="D41" s="11">
        <v>9</v>
      </c>
      <c r="E41" s="11">
        <v>50924</v>
      </c>
      <c r="F41" s="11">
        <v>21430</v>
      </c>
      <c r="G41" s="11">
        <f>SUM(C41:F41)</f>
        <v>137013</v>
      </c>
      <c r="H41" s="17">
        <f>ROUND(G41/483,2)</f>
        <v>283.67</v>
      </c>
      <c r="I41" s="10"/>
      <c r="J41" s="10"/>
    </row>
    <row r="42" spans="1:10" x14ac:dyDescent="0.25">
      <c r="A42" s="21" t="s">
        <v>56</v>
      </c>
      <c r="B42" s="21"/>
      <c r="C42" s="11">
        <v>38750</v>
      </c>
      <c r="D42" s="11">
        <v>0</v>
      </c>
      <c r="E42" s="11">
        <v>12700</v>
      </c>
      <c r="F42" s="11">
        <v>100</v>
      </c>
      <c r="G42" s="11">
        <f>SUM(C42:F42)</f>
        <v>51550</v>
      </c>
      <c r="H42" s="17">
        <f>ROUND(G42/483,2)</f>
        <v>106.73</v>
      </c>
      <c r="I42" s="10"/>
      <c r="J42" s="10"/>
    </row>
    <row r="43" spans="1:10" x14ac:dyDescent="0.25">
      <c r="A43" s="21" t="s">
        <v>57</v>
      </c>
      <c r="B43" s="21"/>
      <c r="C43" s="11"/>
      <c r="D43" s="11"/>
      <c r="E43" s="11"/>
      <c r="F43" s="11"/>
      <c r="G43" s="11">
        <f>SUM(C43:F43)</f>
        <v>0</v>
      </c>
      <c r="H43" s="17">
        <f>ROUND(G43/483,2)</f>
        <v>0</v>
      </c>
      <c r="I43" s="10"/>
      <c r="J43" s="10"/>
    </row>
    <row r="44" spans="1:10" x14ac:dyDescent="0.25">
      <c r="C44" s="9"/>
      <c r="D44" s="9"/>
      <c r="E44" s="9"/>
      <c r="F44" s="9"/>
      <c r="G44" s="9"/>
      <c r="H44" s="9"/>
      <c r="I44" s="10"/>
      <c r="J44" s="10"/>
    </row>
    <row r="45" spans="1:10" x14ac:dyDescent="0.25">
      <c r="C45" s="9"/>
      <c r="D45" s="9"/>
      <c r="E45" s="9"/>
      <c r="F45" s="9"/>
      <c r="G45" s="9"/>
      <c r="H45" s="9"/>
      <c r="I45" s="10"/>
      <c r="J45" s="10"/>
    </row>
    <row r="46" spans="1:10" x14ac:dyDescent="0.25">
      <c r="C46" s="9"/>
      <c r="D46" s="9"/>
      <c r="E46" s="9"/>
      <c r="F46" s="9"/>
      <c r="G46" s="9"/>
      <c r="H46" s="9"/>
      <c r="I46" s="10"/>
      <c r="J46" s="10"/>
    </row>
    <row r="47" spans="1:10" x14ac:dyDescent="0.25">
      <c r="C47" s="9"/>
      <c r="D47" s="9"/>
      <c r="E47" s="9"/>
      <c r="F47" s="9"/>
      <c r="G47" s="9"/>
      <c r="H47" s="9"/>
      <c r="I47" s="10"/>
      <c r="J47" s="10"/>
    </row>
    <row r="48" spans="1:10" x14ac:dyDescent="0.25">
      <c r="A48" s="26" t="s">
        <v>58</v>
      </c>
      <c r="B48" s="26"/>
      <c r="C48" s="15" t="s">
        <v>2</v>
      </c>
      <c r="D48" s="15">
        <v>2024</v>
      </c>
      <c r="E48" s="15" t="s">
        <v>60</v>
      </c>
      <c r="F48" s="14"/>
      <c r="G48" s="15" t="s">
        <v>61</v>
      </c>
      <c r="H48" s="15" t="s">
        <v>2</v>
      </c>
      <c r="I48" s="13" t="s">
        <v>62</v>
      </c>
      <c r="J48" s="13" t="s">
        <v>60</v>
      </c>
    </row>
    <row r="49" spans="1:10" x14ac:dyDescent="0.25">
      <c r="A49" s="21" t="s">
        <v>59</v>
      </c>
      <c r="B49" s="21"/>
      <c r="C49" s="16">
        <f>ROUND(0.7931, 4)</f>
        <v>0.79310000000000003</v>
      </c>
      <c r="D49" s="16">
        <f>ROUND(0.7624, 4)</f>
        <v>0.76239999999999997</v>
      </c>
      <c r="E49" s="16">
        <f>ROUND(0.7856, 4)</f>
        <v>0.78559999999999997</v>
      </c>
      <c r="F49" s="9"/>
      <c r="G49" s="15" t="s">
        <v>63</v>
      </c>
      <c r="H49" s="27" t="s">
        <v>64</v>
      </c>
      <c r="I49" s="24" t="s">
        <v>65</v>
      </c>
      <c r="J49" s="24" t="s">
        <v>66</v>
      </c>
    </row>
    <row r="50" spans="1:10" x14ac:dyDescent="0.25">
      <c r="A50" s="21" t="s">
        <v>67</v>
      </c>
      <c r="B50" s="21"/>
      <c r="C50" s="16">
        <f>ROUND(0.7931, 4)</f>
        <v>0.79310000000000003</v>
      </c>
      <c r="D50" s="16">
        <f>ROUND(0.7524, 4)</f>
        <v>0.75239999999999996</v>
      </c>
      <c r="E50" s="16">
        <f>ROUND(0.7702, 4)</f>
        <v>0.7702</v>
      </c>
      <c r="F50" s="9"/>
      <c r="G50" s="15" t="s">
        <v>68</v>
      </c>
      <c r="H50" s="28"/>
      <c r="I50" s="25"/>
      <c r="J50" s="25"/>
    </row>
    <row r="51" spans="1:10" x14ac:dyDescent="0.25">
      <c r="C51" s="9"/>
      <c r="D51" s="9"/>
      <c r="E51" s="9"/>
      <c r="F51" s="9"/>
      <c r="G51" s="9"/>
      <c r="H51" s="9"/>
      <c r="I51" s="10"/>
      <c r="J51" s="10"/>
    </row>
    <row r="52" spans="1:10" x14ac:dyDescent="0.25">
      <c r="C52" s="9"/>
      <c r="D52" s="9"/>
      <c r="E52" s="9"/>
      <c r="F52" s="9"/>
      <c r="G52" s="9"/>
      <c r="H52" s="9"/>
      <c r="I52" s="10"/>
      <c r="J52" s="10"/>
    </row>
    <row r="53" spans="1:10" x14ac:dyDescent="0.25">
      <c r="C53" s="9"/>
      <c r="D53" s="9"/>
      <c r="E53" s="9"/>
      <c r="F53" s="9"/>
      <c r="G53" s="9"/>
      <c r="H53" s="9"/>
      <c r="I53" s="10"/>
      <c r="J53" s="10"/>
    </row>
    <row r="54" spans="1:10" x14ac:dyDescent="0.25">
      <c r="A54" s="26" t="s">
        <v>69</v>
      </c>
      <c r="B54" s="26"/>
      <c r="C54" s="15" t="s">
        <v>2</v>
      </c>
      <c r="D54" s="15" t="s">
        <v>216</v>
      </c>
      <c r="E54" s="15" t="s">
        <v>71</v>
      </c>
      <c r="F54" s="15" t="s">
        <v>72</v>
      </c>
      <c r="G54" s="15" t="s">
        <v>73</v>
      </c>
      <c r="H54" s="14"/>
      <c r="I54" s="18"/>
      <c r="J54" s="18"/>
    </row>
    <row r="55" spans="1:10" x14ac:dyDescent="0.25">
      <c r="A55" s="21" t="s">
        <v>74</v>
      </c>
      <c r="B55" s="21"/>
      <c r="C55" s="17">
        <v>80.430000000000007</v>
      </c>
      <c r="D55" s="17">
        <v>100.15</v>
      </c>
      <c r="E55" s="17">
        <v>96.15</v>
      </c>
      <c r="F55" s="17">
        <v>57.94</v>
      </c>
      <c r="G55" s="17">
        <f>12/12*C55</f>
        <v>80.430000000000007</v>
      </c>
      <c r="H55" s="9"/>
      <c r="I55" s="10"/>
      <c r="J55" s="10"/>
    </row>
    <row r="56" spans="1:10" x14ac:dyDescent="0.25">
      <c r="A56" s="21" t="s">
        <v>75</v>
      </c>
      <c r="B56" s="21"/>
      <c r="C56" s="17">
        <v>25.01</v>
      </c>
      <c r="D56" s="17">
        <v>27.88</v>
      </c>
      <c r="E56" s="17">
        <v>62.28</v>
      </c>
      <c r="F56" s="17">
        <v>66.599999999999994</v>
      </c>
      <c r="G56" s="17">
        <f>12/12*C56</f>
        <v>25.01</v>
      </c>
      <c r="H56" s="9"/>
      <c r="I56" s="10"/>
      <c r="J56" s="10"/>
    </row>
    <row r="57" spans="1:10" x14ac:dyDescent="0.25">
      <c r="A57" s="21" t="s">
        <v>76</v>
      </c>
      <c r="B57" s="21"/>
      <c r="C57" s="17">
        <v>283.67</v>
      </c>
      <c r="D57" s="17">
        <v>250.85</v>
      </c>
      <c r="E57" s="17">
        <v>300.02</v>
      </c>
      <c r="F57" s="17">
        <v>295.08</v>
      </c>
      <c r="G57" s="17">
        <f>12/12*C57</f>
        <v>283.67</v>
      </c>
      <c r="H57" s="9"/>
      <c r="I57" s="10"/>
      <c r="J57" s="10"/>
    </row>
    <row r="58" spans="1:10" x14ac:dyDescent="0.25">
      <c r="A58" s="21" t="s">
        <v>77</v>
      </c>
      <c r="B58" s="21"/>
      <c r="C58" s="17">
        <v>106.73</v>
      </c>
      <c r="D58" s="17">
        <v>119.84</v>
      </c>
      <c r="E58" s="17">
        <v>120.96</v>
      </c>
      <c r="F58" s="17">
        <v>83.12</v>
      </c>
      <c r="G58" s="17">
        <f>12/12*C58</f>
        <v>106.73</v>
      </c>
      <c r="H58" s="9"/>
      <c r="I58" s="10"/>
      <c r="J58" s="10"/>
    </row>
    <row r="59" spans="1:10" x14ac:dyDescent="0.25">
      <c r="C59" s="9"/>
      <c r="D59" s="9"/>
      <c r="E59" s="9"/>
      <c r="F59" s="9"/>
      <c r="G59" s="9"/>
      <c r="H59" s="9"/>
      <c r="I59" s="10"/>
      <c r="J59" s="10"/>
    </row>
    <row r="60" spans="1:10" x14ac:dyDescent="0.25">
      <c r="C60" s="9"/>
      <c r="D60" s="9"/>
      <c r="E60" s="9"/>
      <c r="F60" s="9"/>
      <c r="G60" s="9"/>
      <c r="H60" s="9"/>
      <c r="I60" s="10"/>
      <c r="J60" s="10"/>
    </row>
    <row r="61" spans="1:10" x14ac:dyDescent="0.25">
      <c r="A61" s="22" t="s">
        <v>61</v>
      </c>
      <c r="B61" s="23"/>
      <c r="C61" s="9"/>
      <c r="D61" s="9"/>
      <c r="E61" s="9"/>
      <c r="F61" s="9"/>
      <c r="G61" s="9"/>
      <c r="H61" s="9"/>
      <c r="I61" s="10"/>
      <c r="J61" s="10"/>
    </row>
    <row r="62" spans="1:10" x14ac:dyDescent="0.25">
      <c r="A62" s="3" t="s">
        <v>78</v>
      </c>
      <c r="B62" s="1" t="s">
        <v>217</v>
      </c>
      <c r="C62" s="9"/>
      <c r="D62" s="9"/>
      <c r="E62" s="9"/>
      <c r="F62" s="9"/>
      <c r="G62" s="9"/>
      <c r="H62" s="9"/>
      <c r="I62" s="10"/>
      <c r="J62" s="10"/>
    </row>
    <row r="63" spans="1:10" x14ac:dyDescent="0.25">
      <c r="A63" s="3" t="s">
        <v>71</v>
      </c>
      <c r="B63" s="1" t="s">
        <v>80</v>
      </c>
      <c r="C63" s="9"/>
      <c r="D63" s="9"/>
      <c r="E63" s="9"/>
      <c r="F63" s="9"/>
      <c r="G63" s="9"/>
      <c r="H63" s="9"/>
      <c r="I63" s="10"/>
      <c r="J63" s="10"/>
    </row>
    <row r="64" spans="1:10" x14ac:dyDescent="0.25">
      <c r="A64" s="3" t="s">
        <v>72</v>
      </c>
      <c r="B64" s="1" t="s">
        <v>81</v>
      </c>
      <c r="C64" s="9"/>
      <c r="D64" s="9"/>
      <c r="E64" s="9"/>
      <c r="F64" s="9"/>
      <c r="G64" s="9"/>
      <c r="H64" s="9"/>
      <c r="I64" s="10"/>
      <c r="J64" s="10"/>
    </row>
    <row r="65" spans="1:10" x14ac:dyDescent="0.25">
      <c r="A65" s="3" t="s">
        <v>73</v>
      </c>
      <c r="B65" s="1" t="s">
        <v>82</v>
      </c>
      <c r="C65" s="9"/>
      <c r="D65" s="9"/>
      <c r="E65" s="9"/>
      <c r="F65" s="9"/>
      <c r="G65" s="9"/>
      <c r="H65" s="9"/>
      <c r="I65" s="10"/>
      <c r="J65" s="10"/>
    </row>
    <row r="66" spans="1:10" x14ac:dyDescent="0.25">
      <c r="C66" s="9"/>
      <c r="D66" s="9"/>
      <c r="E66" s="9"/>
      <c r="F66" s="9"/>
      <c r="G66" s="9"/>
      <c r="H66" s="9"/>
      <c r="I66" s="10"/>
      <c r="J66" s="10"/>
    </row>
    <row r="67" spans="1:10" x14ac:dyDescent="0.25">
      <c r="C67" s="9"/>
      <c r="D67" s="9"/>
      <c r="E67" s="9"/>
      <c r="F67" s="9"/>
      <c r="G67" s="9"/>
      <c r="H67" s="9"/>
      <c r="I67" s="10"/>
      <c r="J67" s="10"/>
    </row>
    <row r="68" spans="1:10" x14ac:dyDescent="0.25">
      <c r="C68" s="9"/>
      <c r="D68" s="9"/>
      <c r="E68" s="9"/>
      <c r="F68" s="9"/>
      <c r="G68" s="9"/>
      <c r="H68" s="9"/>
      <c r="I68" s="10"/>
      <c r="J68" s="10"/>
    </row>
    <row r="69" spans="1:10" x14ac:dyDescent="0.25">
      <c r="C69" s="9"/>
      <c r="D69" s="9"/>
      <c r="E69" s="9"/>
      <c r="F69" s="9"/>
      <c r="G69" s="9"/>
      <c r="H69" s="9"/>
      <c r="I69" s="10"/>
      <c r="J69" s="10"/>
    </row>
    <row r="70" spans="1:10" x14ac:dyDescent="0.25">
      <c r="C70" s="9"/>
      <c r="D70" s="9"/>
      <c r="E70" s="9"/>
      <c r="F70" s="9"/>
      <c r="G70" s="9"/>
      <c r="H70" s="9"/>
      <c r="I70" s="10"/>
      <c r="J70" s="10"/>
    </row>
    <row r="71" spans="1:10" x14ac:dyDescent="0.25">
      <c r="C71" s="9"/>
      <c r="D71" s="9"/>
      <c r="E71" s="9"/>
      <c r="F71" s="9"/>
      <c r="G71" s="9"/>
      <c r="H71" s="9"/>
      <c r="I71" s="10"/>
      <c r="J71" s="10"/>
    </row>
    <row r="72" spans="1:10" x14ac:dyDescent="0.25">
      <c r="C72" s="9"/>
      <c r="D72" s="9"/>
      <c r="E72" s="9"/>
      <c r="F72" s="9"/>
      <c r="G72" s="9"/>
      <c r="H72" s="9"/>
      <c r="I72" s="10"/>
      <c r="J72" s="10"/>
    </row>
    <row r="73" spans="1:10" x14ac:dyDescent="0.25">
      <c r="C73" s="9"/>
      <c r="D73" s="9"/>
      <c r="E73" s="9"/>
      <c r="F73" s="9"/>
      <c r="G73" s="9"/>
      <c r="H73" s="9"/>
      <c r="I73" s="10"/>
      <c r="J73" s="10"/>
    </row>
    <row r="74" spans="1:10" x14ac:dyDescent="0.25">
      <c r="C74" s="9"/>
      <c r="D74" s="9"/>
      <c r="E74" s="9"/>
      <c r="F74" s="9"/>
      <c r="G74" s="9"/>
      <c r="H74" s="9"/>
      <c r="I74" s="10"/>
      <c r="J74" s="10"/>
    </row>
    <row r="75" spans="1:10" x14ac:dyDescent="0.25">
      <c r="C75" s="9"/>
      <c r="D75" s="9"/>
      <c r="E75" s="9"/>
      <c r="F75" s="9"/>
      <c r="G75" s="9"/>
      <c r="H75" s="9"/>
      <c r="I75" s="10"/>
      <c r="J75" s="10"/>
    </row>
    <row r="76" spans="1:10" x14ac:dyDescent="0.25">
      <c r="C76" s="9"/>
      <c r="D76" s="9"/>
      <c r="E76" s="9"/>
      <c r="F76" s="9"/>
      <c r="G76" s="9"/>
      <c r="H76" s="9"/>
      <c r="I76" s="10"/>
      <c r="J76" s="10"/>
    </row>
  </sheetData>
  <mergeCells count="19">
    <mergeCell ref="C7:G7"/>
    <mergeCell ref="A34:B34"/>
    <mergeCell ref="A35:B35"/>
    <mergeCell ref="A40:B40"/>
    <mergeCell ref="A41:B41"/>
    <mergeCell ref="J49:J50"/>
    <mergeCell ref="A50:B50"/>
    <mergeCell ref="A54:B54"/>
    <mergeCell ref="A55:B55"/>
    <mergeCell ref="A42:B42"/>
    <mergeCell ref="A43:B43"/>
    <mergeCell ref="A48:B48"/>
    <mergeCell ref="A49:B49"/>
    <mergeCell ref="H49:H50"/>
    <mergeCell ref="A56:B56"/>
    <mergeCell ref="A57:B57"/>
    <mergeCell ref="A58:B58"/>
    <mergeCell ref="A61:B61"/>
    <mergeCell ref="I49:I50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J76"/>
  <sheetViews>
    <sheetView workbookViewId="0">
      <selection activeCell="H5" sqref="H5"/>
    </sheetView>
  </sheetViews>
  <sheetFormatPr defaultRowHeight="15" x14ac:dyDescent="0.25"/>
  <cols>
    <col min="1" max="1" width="28.42578125" bestFit="1" customWidth="1"/>
    <col min="2" max="2" width="59.5703125" bestFit="1" customWidth="1"/>
    <col min="3" max="3" width="12.7109375" bestFit="1" customWidth="1"/>
    <col min="4" max="4" width="28" bestFit="1" customWidth="1"/>
    <col min="5" max="5" width="13.85546875" bestFit="1" customWidth="1"/>
    <col min="6" max="6" width="8.5703125" bestFit="1" customWidth="1"/>
    <col min="7" max="7" width="47.7109375" bestFit="1" customWidth="1"/>
    <col min="8" max="9" width="16.7109375" bestFit="1" customWidth="1"/>
    <col min="10" max="10" width="24.42578125" bestFit="1" customWidth="1"/>
  </cols>
  <sheetData>
    <row r="2" spans="1:10" ht="18.75" x14ac:dyDescent="0.3">
      <c r="A2" s="3" t="s">
        <v>0</v>
      </c>
      <c r="B2" s="4" t="s">
        <v>218</v>
      </c>
    </row>
    <row r="3" spans="1:10" x14ac:dyDescent="0.25">
      <c r="A3" s="3" t="s">
        <v>2</v>
      </c>
      <c r="B3" s="1" t="s">
        <v>3</v>
      </c>
    </row>
    <row r="4" spans="1:10" x14ac:dyDescent="0.25">
      <c r="A4" s="3" t="s">
        <v>4</v>
      </c>
      <c r="B4" s="20">
        <v>4801</v>
      </c>
    </row>
    <row r="7" spans="1:10" x14ac:dyDescent="0.25">
      <c r="C7" s="22" t="s">
        <v>5</v>
      </c>
      <c r="D7" s="21"/>
      <c r="E7" s="21"/>
      <c r="F7" s="21"/>
      <c r="G7" s="21"/>
    </row>
    <row r="8" spans="1:10" x14ac:dyDescent="0.25">
      <c r="A8" s="3" t="s">
        <v>6</v>
      </c>
      <c r="B8" s="3" t="s">
        <v>7</v>
      </c>
      <c r="C8" s="15" t="s">
        <v>8</v>
      </c>
      <c r="D8" s="15" t="s">
        <v>9</v>
      </c>
      <c r="E8" s="15" t="s">
        <v>10</v>
      </c>
      <c r="F8" s="15" t="s">
        <v>11</v>
      </c>
      <c r="G8" s="15" t="s">
        <v>12</v>
      </c>
      <c r="H8" s="15" t="s">
        <v>13</v>
      </c>
      <c r="I8" s="15" t="s">
        <v>14</v>
      </c>
      <c r="J8" s="15" t="s">
        <v>15</v>
      </c>
    </row>
    <row r="9" spans="1:10" x14ac:dyDescent="0.25">
      <c r="A9" s="1" t="s">
        <v>16</v>
      </c>
      <c r="B9" s="1" t="s">
        <v>17</v>
      </c>
      <c r="C9" s="11"/>
      <c r="D9" s="11"/>
      <c r="E9" s="11">
        <v>122</v>
      </c>
      <c r="F9" s="11"/>
      <c r="G9" s="11">
        <f t="shared" ref="G9:G44" si="0">SUM(C9:F9)</f>
        <v>122</v>
      </c>
      <c r="H9" s="17">
        <f t="shared" ref="H9:H44" si="1">ROUND(G9/4801,2)</f>
        <v>0.03</v>
      </c>
      <c r="I9" s="16">
        <f t="shared" ref="I9:I44" si="2">ROUND(G9/$G$45,3)</f>
        <v>0</v>
      </c>
      <c r="J9" s="16">
        <f>ROUND(G9/100-1,2)</f>
        <v>0.22</v>
      </c>
    </row>
    <row r="10" spans="1:10" x14ac:dyDescent="0.25">
      <c r="A10" s="1" t="s">
        <v>16</v>
      </c>
      <c r="B10" s="1" t="s">
        <v>19</v>
      </c>
      <c r="C10" s="11">
        <v>155920</v>
      </c>
      <c r="D10" s="11"/>
      <c r="E10" s="11"/>
      <c r="F10" s="11">
        <v>2440</v>
      </c>
      <c r="G10" s="11">
        <f t="shared" si="0"/>
        <v>158360</v>
      </c>
      <c r="H10" s="17">
        <f t="shared" si="1"/>
        <v>32.979999999999997</v>
      </c>
      <c r="I10" s="16">
        <f t="shared" si="2"/>
        <v>7.0000000000000007E-2</v>
      </c>
      <c r="J10" s="16">
        <f>ROUND(G10/152330-1,2)</f>
        <v>0.04</v>
      </c>
    </row>
    <row r="11" spans="1:10" x14ac:dyDescent="0.25">
      <c r="A11" s="1" t="s">
        <v>16</v>
      </c>
      <c r="B11" s="1" t="s">
        <v>20</v>
      </c>
      <c r="C11" s="11">
        <v>227290</v>
      </c>
      <c r="D11" s="11"/>
      <c r="E11" s="11"/>
      <c r="F11" s="11"/>
      <c r="G11" s="11">
        <f t="shared" si="0"/>
        <v>227290</v>
      </c>
      <c r="H11" s="17">
        <f t="shared" si="1"/>
        <v>47.34</v>
      </c>
      <c r="I11" s="16">
        <f t="shared" si="2"/>
        <v>0.10100000000000001</v>
      </c>
      <c r="J11" s="16">
        <f>ROUND(G11/251990-1,2)</f>
        <v>-0.1</v>
      </c>
    </row>
    <row r="12" spans="1:10" x14ac:dyDescent="0.25">
      <c r="A12" s="1" t="s">
        <v>16</v>
      </c>
      <c r="B12" s="1" t="s">
        <v>87</v>
      </c>
      <c r="C12" s="11"/>
      <c r="D12" s="11"/>
      <c r="E12" s="11">
        <v>155</v>
      </c>
      <c r="F12" s="11"/>
      <c r="G12" s="11">
        <f t="shared" si="0"/>
        <v>155</v>
      </c>
      <c r="H12" s="17">
        <f t="shared" si="1"/>
        <v>0.03</v>
      </c>
      <c r="I12" s="16">
        <f t="shared" si="2"/>
        <v>0</v>
      </c>
      <c r="J12" s="16">
        <f>ROUND(G12/187-1,2)</f>
        <v>-0.17</v>
      </c>
    </row>
    <row r="13" spans="1:10" x14ac:dyDescent="0.25">
      <c r="A13" s="1" t="s">
        <v>16</v>
      </c>
      <c r="B13" s="1" t="s">
        <v>21</v>
      </c>
      <c r="C13" s="11"/>
      <c r="D13" s="11"/>
      <c r="E13" s="11">
        <v>306</v>
      </c>
      <c r="F13" s="11"/>
      <c r="G13" s="11">
        <f t="shared" si="0"/>
        <v>306</v>
      </c>
      <c r="H13" s="17">
        <f t="shared" si="1"/>
        <v>0.06</v>
      </c>
      <c r="I13" s="16">
        <f t="shared" si="2"/>
        <v>0</v>
      </c>
      <c r="J13" s="16">
        <f>ROUND(G13/734-1,2)</f>
        <v>-0.57999999999999996</v>
      </c>
    </row>
    <row r="14" spans="1:10" x14ac:dyDescent="0.25">
      <c r="A14" s="1" t="s">
        <v>16</v>
      </c>
      <c r="B14" s="1" t="s">
        <v>22</v>
      </c>
      <c r="C14" s="11"/>
      <c r="D14" s="11"/>
      <c r="E14" s="11">
        <v>3380</v>
      </c>
      <c r="F14" s="11"/>
      <c r="G14" s="11">
        <f t="shared" si="0"/>
        <v>3380</v>
      </c>
      <c r="H14" s="17">
        <f t="shared" si="1"/>
        <v>0.7</v>
      </c>
      <c r="I14" s="16">
        <f t="shared" si="2"/>
        <v>2E-3</v>
      </c>
      <c r="J14" s="16">
        <f>ROUND(G14/2600-1,2)</f>
        <v>0.3</v>
      </c>
    </row>
    <row r="15" spans="1:10" x14ac:dyDescent="0.25">
      <c r="A15" s="1" t="s">
        <v>16</v>
      </c>
      <c r="B15" s="1" t="s">
        <v>96</v>
      </c>
      <c r="C15" s="11"/>
      <c r="D15" s="11"/>
      <c r="E15" s="11"/>
      <c r="F15" s="11">
        <v>105</v>
      </c>
      <c r="G15" s="11">
        <f t="shared" si="0"/>
        <v>105</v>
      </c>
      <c r="H15" s="17">
        <f t="shared" si="1"/>
        <v>0.02</v>
      </c>
      <c r="I15" s="16">
        <f t="shared" si="2"/>
        <v>0</v>
      </c>
      <c r="J15" s="16"/>
    </row>
    <row r="16" spans="1:10" x14ac:dyDescent="0.25">
      <c r="A16" s="1" t="s">
        <v>16</v>
      </c>
      <c r="B16" s="1" t="s">
        <v>23</v>
      </c>
      <c r="C16" s="11"/>
      <c r="D16" s="11"/>
      <c r="E16" s="11">
        <v>101900</v>
      </c>
      <c r="F16" s="11"/>
      <c r="G16" s="11">
        <f t="shared" si="0"/>
        <v>101900</v>
      </c>
      <c r="H16" s="17">
        <f t="shared" si="1"/>
        <v>21.22</v>
      </c>
      <c r="I16" s="16">
        <f t="shared" si="2"/>
        <v>4.4999999999999998E-2</v>
      </c>
      <c r="J16" s="16">
        <f>ROUND(G16/170200-1,2)</f>
        <v>-0.4</v>
      </c>
    </row>
    <row r="17" spans="1:10" x14ac:dyDescent="0.25">
      <c r="A17" s="1" t="s">
        <v>16</v>
      </c>
      <c r="B17" s="1" t="s">
        <v>24</v>
      </c>
      <c r="C17" s="11">
        <v>219730</v>
      </c>
      <c r="D17" s="11"/>
      <c r="E17" s="11">
        <v>19060</v>
      </c>
      <c r="F17" s="11">
        <v>16890</v>
      </c>
      <c r="G17" s="11">
        <f t="shared" si="0"/>
        <v>255680</v>
      </c>
      <c r="H17" s="17">
        <f t="shared" si="1"/>
        <v>53.26</v>
      </c>
      <c r="I17" s="16">
        <f t="shared" si="2"/>
        <v>0.114</v>
      </c>
      <c r="J17" s="16">
        <f>ROUND(G17/267060-1,2)</f>
        <v>-0.04</v>
      </c>
    </row>
    <row r="18" spans="1:10" x14ac:dyDescent="0.25">
      <c r="A18" s="1" t="s">
        <v>16</v>
      </c>
      <c r="B18" s="1" t="s">
        <v>25</v>
      </c>
      <c r="C18" s="11"/>
      <c r="D18" s="11"/>
      <c r="E18" s="11">
        <v>10600</v>
      </c>
      <c r="F18" s="11"/>
      <c r="G18" s="11">
        <f t="shared" si="0"/>
        <v>10600</v>
      </c>
      <c r="H18" s="17">
        <f t="shared" si="1"/>
        <v>2.21</v>
      </c>
      <c r="I18" s="16">
        <f t="shared" si="2"/>
        <v>5.0000000000000001E-3</v>
      </c>
      <c r="J18" s="16">
        <f>ROUND(G18/13930-1,2)</f>
        <v>-0.24</v>
      </c>
    </row>
    <row r="19" spans="1:10" x14ac:dyDescent="0.25">
      <c r="A19" s="1" t="s">
        <v>16</v>
      </c>
      <c r="B19" s="1" t="s">
        <v>26</v>
      </c>
      <c r="C19" s="11">
        <v>335190</v>
      </c>
      <c r="D19" s="11"/>
      <c r="E19" s="11"/>
      <c r="F19" s="11">
        <v>1870</v>
      </c>
      <c r="G19" s="11">
        <f t="shared" si="0"/>
        <v>337060</v>
      </c>
      <c r="H19" s="17">
        <f t="shared" si="1"/>
        <v>70.209999999999994</v>
      </c>
      <c r="I19" s="16">
        <f t="shared" si="2"/>
        <v>0.15</v>
      </c>
      <c r="J19" s="16">
        <f>ROUND(G19/316680-1,2)</f>
        <v>0.06</v>
      </c>
    </row>
    <row r="20" spans="1:10" x14ac:dyDescent="0.25">
      <c r="A20" s="1" t="s">
        <v>16</v>
      </c>
      <c r="B20" s="1" t="s">
        <v>27</v>
      </c>
      <c r="C20" s="11"/>
      <c r="D20" s="11"/>
      <c r="E20" s="11">
        <v>1737</v>
      </c>
      <c r="F20" s="11"/>
      <c r="G20" s="11">
        <f t="shared" si="0"/>
        <v>1737</v>
      </c>
      <c r="H20" s="17">
        <f t="shared" si="1"/>
        <v>0.36</v>
      </c>
      <c r="I20" s="16">
        <f t="shared" si="2"/>
        <v>1E-3</v>
      </c>
      <c r="J20" s="16">
        <f>ROUND(G20/1783-1,2)</f>
        <v>-0.03</v>
      </c>
    </row>
    <row r="21" spans="1:10" x14ac:dyDescent="0.25">
      <c r="A21" s="1" t="s">
        <v>16</v>
      </c>
      <c r="B21" s="1" t="s">
        <v>28</v>
      </c>
      <c r="C21" s="11"/>
      <c r="D21" s="11"/>
      <c r="E21" s="11">
        <v>1009</v>
      </c>
      <c r="F21" s="11"/>
      <c r="G21" s="11">
        <f t="shared" si="0"/>
        <v>1009</v>
      </c>
      <c r="H21" s="17">
        <f t="shared" si="1"/>
        <v>0.21</v>
      </c>
      <c r="I21" s="16">
        <f t="shared" si="2"/>
        <v>0</v>
      </c>
      <c r="J21" s="16">
        <f>ROUND(G21/901-1,2)</f>
        <v>0.12</v>
      </c>
    </row>
    <row r="22" spans="1:10" x14ac:dyDescent="0.25">
      <c r="A22" s="1" t="s">
        <v>16</v>
      </c>
      <c r="B22" s="1" t="s">
        <v>29</v>
      </c>
      <c r="C22" s="11"/>
      <c r="D22" s="11"/>
      <c r="E22" s="11">
        <v>245</v>
      </c>
      <c r="F22" s="11"/>
      <c r="G22" s="11">
        <f t="shared" si="0"/>
        <v>245</v>
      </c>
      <c r="H22" s="17">
        <f t="shared" si="1"/>
        <v>0.05</v>
      </c>
      <c r="I22" s="16">
        <f t="shared" si="2"/>
        <v>0</v>
      </c>
      <c r="J22" s="16">
        <f>ROUND(G22/264-1,2)</f>
        <v>-7.0000000000000007E-2</v>
      </c>
    </row>
    <row r="23" spans="1:10" x14ac:dyDescent="0.25">
      <c r="A23" s="1" t="s">
        <v>16</v>
      </c>
      <c r="B23" s="1" t="s">
        <v>30</v>
      </c>
      <c r="C23" s="11"/>
      <c r="D23" s="11"/>
      <c r="E23" s="11">
        <v>10310</v>
      </c>
      <c r="F23" s="11"/>
      <c r="G23" s="11">
        <f t="shared" si="0"/>
        <v>10310</v>
      </c>
      <c r="H23" s="17">
        <f t="shared" si="1"/>
        <v>2.15</v>
      </c>
      <c r="I23" s="16">
        <f t="shared" si="2"/>
        <v>5.0000000000000001E-3</v>
      </c>
      <c r="J23" s="16">
        <f>ROUND(G23/11030-1,2)</f>
        <v>-7.0000000000000007E-2</v>
      </c>
    </row>
    <row r="24" spans="1:10" x14ac:dyDescent="0.25">
      <c r="A24" s="1" t="s">
        <v>16</v>
      </c>
      <c r="B24" s="1" t="s">
        <v>31</v>
      </c>
      <c r="C24" s="11"/>
      <c r="D24" s="11"/>
      <c r="E24" s="11">
        <v>1080</v>
      </c>
      <c r="F24" s="11"/>
      <c r="G24" s="11">
        <f t="shared" si="0"/>
        <v>1080</v>
      </c>
      <c r="H24" s="17">
        <f t="shared" si="1"/>
        <v>0.22</v>
      </c>
      <c r="I24" s="16">
        <f t="shared" si="2"/>
        <v>0</v>
      </c>
      <c r="J24" s="16">
        <f>ROUND(G24/1030-1,2)</f>
        <v>0.05</v>
      </c>
    </row>
    <row r="25" spans="1:10" x14ac:dyDescent="0.25">
      <c r="A25" s="1" t="s">
        <v>16</v>
      </c>
      <c r="B25" s="1" t="s">
        <v>32</v>
      </c>
      <c r="C25" s="11"/>
      <c r="D25" s="11"/>
      <c r="E25" s="11">
        <v>210</v>
      </c>
      <c r="F25" s="11"/>
      <c r="G25" s="11">
        <f t="shared" si="0"/>
        <v>210</v>
      </c>
      <c r="H25" s="17">
        <f t="shared" si="1"/>
        <v>0.04</v>
      </c>
      <c r="I25" s="16">
        <f t="shared" si="2"/>
        <v>0</v>
      </c>
      <c r="J25" s="16">
        <f>ROUND(G25/840-1,2)</f>
        <v>-0.75</v>
      </c>
    </row>
    <row r="26" spans="1:10" x14ac:dyDescent="0.25">
      <c r="A26" s="1" t="s">
        <v>16</v>
      </c>
      <c r="B26" s="1" t="s">
        <v>33</v>
      </c>
      <c r="C26" s="11"/>
      <c r="D26" s="11"/>
      <c r="E26" s="11">
        <v>2985</v>
      </c>
      <c r="F26" s="11"/>
      <c r="G26" s="11">
        <f t="shared" si="0"/>
        <v>2985</v>
      </c>
      <c r="H26" s="17">
        <f t="shared" si="1"/>
        <v>0.62</v>
      </c>
      <c r="I26" s="16">
        <f t="shared" si="2"/>
        <v>1E-3</v>
      </c>
      <c r="J26" s="16">
        <f>ROUND(G26/3330-1,2)</f>
        <v>-0.1</v>
      </c>
    </row>
    <row r="27" spans="1:10" x14ac:dyDescent="0.25">
      <c r="A27" s="1" t="s">
        <v>16</v>
      </c>
      <c r="B27" s="1" t="s">
        <v>34</v>
      </c>
      <c r="C27" s="11"/>
      <c r="D27" s="11">
        <v>86</v>
      </c>
      <c r="E27" s="11">
        <v>347</v>
      </c>
      <c r="F27" s="11"/>
      <c r="G27" s="11">
        <f t="shared" si="0"/>
        <v>433</v>
      </c>
      <c r="H27" s="17">
        <f t="shared" si="1"/>
        <v>0.09</v>
      </c>
      <c r="I27" s="16">
        <f t="shared" si="2"/>
        <v>0</v>
      </c>
      <c r="J27" s="16">
        <f>ROUND(G27/355-1,2)</f>
        <v>0.22</v>
      </c>
    </row>
    <row r="28" spans="1:10" x14ac:dyDescent="0.25">
      <c r="A28" s="1" t="s">
        <v>16</v>
      </c>
      <c r="B28" s="1" t="s">
        <v>36</v>
      </c>
      <c r="C28" s="11"/>
      <c r="D28" s="11"/>
      <c r="E28" s="11">
        <v>80</v>
      </c>
      <c r="F28" s="11"/>
      <c r="G28" s="11">
        <f t="shared" si="0"/>
        <v>80</v>
      </c>
      <c r="H28" s="17">
        <f t="shared" si="1"/>
        <v>0.02</v>
      </c>
      <c r="I28" s="16">
        <f t="shared" si="2"/>
        <v>0</v>
      </c>
      <c r="J28" s="16">
        <f>ROUND(G28/863-1,2)</f>
        <v>-0.91</v>
      </c>
    </row>
    <row r="29" spans="1:10" x14ac:dyDescent="0.25">
      <c r="A29" s="1" t="s">
        <v>16</v>
      </c>
      <c r="B29" s="1" t="s">
        <v>35</v>
      </c>
      <c r="C29" s="11"/>
      <c r="D29" s="11"/>
      <c r="E29" s="11">
        <v>2171</v>
      </c>
      <c r="F29" s="11"/>
      <c r="G29" s="11">
        <f t="shared" si="0"/>
        <v>2171</v>
      </c>
      <c r="H29" s="17">
        <f t="shared" si="1"/>
        <v>0.45</v>
      </c>
      <c r="I29" s="16">
        <f t="shared" si="2"/>
        <v>1E-3</v>
      </c>
      <c r="J29" s="16"/>
    </row>
    <row r="30" spans="1:10" x14ac:dyDescent="0.25">
      <c r="A30" s="1" t="s">
        <v>16</v>
      </c>
      <c r="B30" s="1" t="s">
        <v>37</v>
      </c>
      <c r="C30" s="11"/>
      <c r="D30" s="11"/>
      <c r="E30" s="11">
        <v>3640</v>
      </c>
      <c r="F30" s="11"/>
      <c r="G30" s="11">
        <f t="shared" si="0"/>
        <v>3640</v>
      </c>
      <c r="H30" s="17">
        <f t="shared" si="1"/>
        <v>0.76</v>
      </c>
      <c r="I30" s="16">
        <f t="shared" si="2"/>
        <v>2E-3</v>
      </c>
      <c r="J30" s="16">
        <f>ROUND(G30/5760-1,2)</f>
        <v>-0.37</v>
      </c>
    </row>
    <row r="31" spans="1:10" x14ac:dyDescent="0.25">
      <c r="A31" s="1" t="s">
        <v>16</v>
      </c>
      <c r="B31" s="1" t="s">
        <v>38</v>
      </c>
      <c r="C31" s="11"/>
      <c r="D31" s="11"/>
      <c r="E31" s="11">
        <v>7820</v>
      </c>
      <c r="F31" s="11"/>
      <c r="G31" s="11">
        <f t="shared" si="0"/>
        <v>7820</v>
      </c>
      <c r="H31" s="17">
        <f t="shared" si="1"/>
        <v>1.63</v>
      </c>
      <c r="I31" s="16">
        <f t="shared" si="2"/>
        <v>3.0000000000000001E-3</v>
      </c>
      <c r="J31" s="16">
        <f>ROUND(G31/13300-1,2)</f>
        <v>-0.41</v>
      </c>
    </row>
    <row r="32" spans="1:10" x14ac:dyDescent="0.25">
      <c r="A32" s="1" t="s">
        <v>16</v>
      </c>
      <c r="B32" s="1" t="s">
        <v>39</v>
      </c>
      <c r="C32" s="11"/>
      <c r="D32" s="11"/>
      <c r="E32" s="11">
        <v>21705</v>
      </c>
      <c r="F32" s="11"/>
      <c r="G32" s="11">
        <f t="shared" si="0"/>
        <v>21705</v>
      </c>
      <c r="H32" s="17">
        <f t="shared" si="1"/>
        <v>4.5199999999999996</v>
      </c>
      <c r="I32" s="16">
        <f t="shared" si="2"/>
        <v>0.01</v>
      </c>
      <c r="J32" s="16">
        <f>ROUND(G32/30337-1,2)</f>
        <v>-0.28000000000000003</v>
      </c>
    </row>
    <row r="33" spans="1:10" x14ac:dyDescent="0.25">
      <c r="A33" s="1" t="s">
        <v>16</v>
      </c>
      <c r="B33" s="1" t="s">
        <v>40</v>
      </c>
      <c r="C33" s="11"/>
      <c r="D33" s="11"/>
      <c r="E33" s="11">
        <v>143620</v>
      </c>
      <c r="F33" s="11"/>
      <c r="G33" s="11">
        <f t="shared" si="0"/>
        <v>143620</v>
      </c>
      <c r="H33" s="17">
        <f t="shared" si="1"/>
        <v>29.91</v>
      </c>
      <c r="I33" s="16">
        <f t="shared" si="2"/>
        <v>6.4000000000000001E-2</v>
      </c>
      <c r="J33" s="16">
        <f>ROUND(G33/167325-1,2)</f>
        <v>-0.14000000000000001</v>
      </c>
    </row>
    <row r="34" spans="1:10" x14ac:dyDescent="0.25">
      <c r="A34" s="1" t="s">
        <v>16</v>
      </c>
      <c r="B34" s="1" t="s">
        <v>41</v>
      </c>
      <c r="C34" s="11"/>
      <c r="D34" s="11"/>
      <c r="E34" s="11">
        <v>9930</v>
      </c>
      <c r="F34" s="11"/>
      <c r="G34" s="11">
        <f t="shared" si="0"/>
        <v>9930</v>
      </c>
      <c r="H34" s="17">
        <f t="shared" si="1"/>
        <v>2.0699999999999998</v>
      </c>
      <c r="I34" s="16">
        <f t="shared" si="2"/>
        <v>4.0000000000000001E-3</v>
      </c>
      <c r="J34" s="16">
        <f>ROUND(G34/13030-1,2)</f>
        <v>-0.24</v>
      </c>
    </row>
    <row r="35" spans="1:10" x14ac:dyDescent="0.25">
      <c r="A35" s="1" t="s">
        <v>16</v>
      </c>
      <c r="B35" s="1" t="s">
        <v>42</v>
      </c>
      <c r="C35" s="11"/>
      <c r="D35" s="11"/>
      <c r="E35" s="11">
        <v>32640</v>
      </c>
      <c r="F35" s="11"/>
      <c r="G35" s="11">
        <f t="shared" si="0"/>
        <v>32640</v>
      </c>
      <c r="H35" s="17">
        <f t="shared" si="1"/>
        <v>6.8</v>
      </c>
      <c r="I35" s="16">
        <f t="shared" si="2"/>
        <v>1.4999999999999999E-2</v>
      </c>
      <c r="J35" s="16">
        <f>ROUND(G35/42830-1,2)</f>
        <v>-0.24</v>
      </c>
    </row>
    <row r="36" spans="1:10" x14ac:dyDescent="0.25">
      <c r="A36" s="1" t="s">
        <v>16</v>
      </c>
      <c r="B36" s="1" t="s">
        <v>44</v>
      </c>
      <c r="C36" s="11"/>
      <c r="D36" s="11"/>
      <c r="E36" s="11">
        <v>255855</v>
      </c>
      <c r="F36" s="11">
        <v>3060</v>
      </c>
      <c r="G36" s="11">
        <f t="shared" si="0"/>
        <v>258915</v>
      </c>
      <c r="H36" s="17">
        <f t="shared" si="1"/>
        <v>53.93</v>
      </c>
      <c r="I36" s="16">
        <f t="shared" si="2"/>
        <v>0.115</v>
      </c>
      <c r="J36" s="16">
        <f>ROUND(G36/266530-1,2)</f>
        <v>-0.03</v>
      </c>
    </row>
    <row r="37" spans="1:10" x14ac:dyDescent="0.25">
      <c r="A37" s="1" t="s">
        <v>16</v>
      </c>
      <c r="B37" s="1" t="s">
        <v>219</v>
      </c>
      <c r="C37" s="11"/>
      <c r="D37" s="11"/>
      <c r="E37" s="11"/>
      <c r="F37" s="11"/>
      <c r="G37" s="11">
        <f t="shared" si="0"/>
        <v>0</v>
      </c>
      <c r="H37" s="17">
        <f t="shared" si="1"/>
        <v>0</v>
      </c>
      <c r="I37" s="16">
        <f t="shared" si="2"/>
        <v>0</v>
      </c>
      <c r="J37" s="16"/>
    </row>
    <row r="38" spans="1:10" x14ac:dyDescent="0.25">
      <c r="A38" s="1" t="s">
        <v>16</v>
      </c>
      <c r="B38" s="1" t="s">
        <v>161</v>
      </c>
      <c r="C38" s="11"/>
      <c r="D38" s="11"/>
      <c r="E38" s="11"/>
      <c r="F38" s="11"/>
      <c r="G38" s="11">
        <f t="shared" si="0"/>
        <v>0</v>
      </c>
      <c r="H38" s="17">
        <f t="shared" si="1"/>
        <v>0</v>
      </c>
      <c r="I38" s="16">
        <f t="shared" si="2"/>
        <v>0</v>
      </c>
      <c r="J38" s="16"/>
    </row>
    <row r="39" spans="1:10" x14ac:dyDescent="0.25">
      <c r="A39" s="1" t="s">
        <v>16</v>
      </c>
      <c r="B39" s="1" t="s">
        <v>220</v>
      </c>
      <c r="C39" s="11"/>
      <c r="D39" s="11"/>
      <c r="E39" s="11"/>
      <c r="F39" s="11"/>
      <c r="G39" s="11">
        <f t="shared" si="0"/>
        <v>0</v>
      </c>
      <c r="H39" s="17">
        <f t="shared" si="1"/>
        <v>0</v>
      </c>
      <c r="I39" s="16">
        <f t="shared" si="2"/>
        <v>0</v>
      </c>
      <c r="J39" s="16"/>
    </row>
    <row r="40" spans="1:10" x14ac:dyDescent="0.25">
      <c r="A40" s="1" t="s">
        <v>45</v>
      </c>
      <c r="B40" s="1" t="s">
        <v>46</v>
      </c>
      <c r="C40" s="11">
        <v>468240</v>
      </c>
      <c r="D40" s="11"/>
      <c r="E40" s="11"/>
      <c r="F40" s="11">
        <v>15990</v>
      </c>
      <c r="G40" s="11">
        <f t="shared" si="0"/>
        <v>484230</v>
      </c>
      <c r="H40" s="17">
        <f t="shared" si="1"/>
        <v>100.86</v>
      </c>
      <c r="I40" s="16">
        <f t="shared" si="2"/>
        <v>0.215</v>
      </c>
      <c r="J40" s="16">
        <f>ROUND(G40/460420-1,2)</f>
        <v>0.05</v>
      </c>
    </row>
    <row r="41" spans="1:10" x14ac:dyDescent="0.25">
      <c r="A41" s="1" t="s">
        <v>45</v>
      </c>
      <c r="B41" s="1" t="s">
        <v>48</v>
      </c>
      <c r="C41" s="11"/>
      <c r="D41" s="11"/>
      <c r="E41" s="11"/>
      <c r="F41" s="11">
        <v>85030</v>
      </c>
      <c r="G41" s="11">
        <f t="shared" si="0"/>
        <v>85030</v>
      </c>
      <c r="H41" s="17">
        <f t="shared" si="1"/>
        <v>17.71</v>
      </c>
      <c r="I41" s="16">
        <f t="shared" si="2"/>
        <v>3.7999999999999999E-2</v>
      </c>
      <c r="J41" s="16">
        <f>ROUND(G41/79280-1,2)</f>
        <v>7.0000000000000007E-2</v>
      </c>
    </row>
    <row r="42" spans="1:10" x14ac:dyDescent="0.25">
      <c r="A42" s="1" t="s">
        <v>45</v>
      </c>
      <c r="B42" s="1" t="s">
        <v>47</v>
      </c>
      <c r="C42" s="11"/>
      <c r="D42" s="11"/>
      <c r="E42" s="11">
        <v>85700</v>
      </c>
      <c r="F42" s="11"/>
      <c r="G42" s="11">
        <f t="shared" si="0"/>
        <v>85700</v>
      </c>
      <c r="H42" s="17">
        <f t="shared" si="1"/>
        <v>17.850000000000001</v>
      </c>
      <c r="I42" s="16">
        <f t="shared" si="2"/>
        <v>3.7999999999999999E-2</v>
      </c>
      <c r="J42" s="16">
        <f>ROUND(G42/104620-1,2)</f>
        <v>-0.18</v>
      </c>
    </row>
    <row r="43" spans="1:10" x14ac:dyDescent="0.25">
      <c r="A43" s="1" t="s">
        <v>49</v>
      </c>
      <c r="B43" s="1" t="s">
        <v>50</v>
      </c>
      <c r="C43" s="11"/>
      <c r="D43" s="11"/>
      <c r="E43" s="11"/>
      <c r="F43" s="11"/>
      <c r="G43" s="11">
        <f t="shared" si="0"/>
        <v>0</v>
      </c>
      <c r="H43" s="17">
        <f t="shared" si="1"/>
        <v>0</v>
      </c>
      <c r="I43" s="16">
        <f t="shared" si="2"/>
        <v>0</v>
      </c>
      <c r="J43" s="16">
        <f>ROUND(G43/438-1,2)</f>
        <v>-1</v>
      </c>
    </row>
    <row r="44" spans="1:10" x14ac:dyDescent="0.25">
      <c r="A44" s="1" t="s">
        <v>49</v>
      </c>
      <c r="B44" s="1" t="s">
        <v>52</v>
      </c>
      <c r="C44" s="11"/>
      <c r="D44" s="11"/>
      <c r="E44" s="11"/>
      <c r="F44" s="11"/>
      <c r="G44" s="11">
        <f t="shared" si="0"/>
        <v>0</v>
      </c>
      <c r="H44" s="17">
        <f t="shared" si="1"/>
        <v>0</v>
      </c>
      <c r="I44" s="16">
        <f t="shared" si="2"/>
        <v>0</v>
      </c>
      <c r="J44" s="16"/>
    </row>
    <row r="45" spans="1:10" x14ac:dyDescent="0.25">
      <c r="A45" s="26" t="s">
        <v>12</v>
      </c>
      <c r="B45" s="26"/>
      <c r="C45" s="12">
        <f t="shared" ref="C45:H45" si="3">SUM(C8:C44)</f>
        <v>1406370</v>
      </c>
      <c r="D45" s="12">
        <f t="shared" si="3"/>
        <v>86</v>
      </c>
      <c r="E45" s="12">
        <f t="shared" si="3"/>
        <v>716607</v>
      </c>
      <c r="F45" s="12">
        <f t="shared" si="3"/>
        <v>125385</v>
      </c>
      <c r="G45" s="12">
        <f t="shared" si="3"/>
        <v>2248448</v>
      </c>
      <c r="H45" s="15">
        <f t="shared" si="3"/>
        <v>468.31000000000006</v>
      </c>
      <c r="I45" s="18"/>
      <c r="J45" s="18"/>
    </row>
    <row r="46" spans="1:10" x14ac:dyDescent="0.25">
      <c r="A46" s="26" t="s">
        <v>14</v>
      </c>
      <c r="B46" s="26"/>
      <c r="C46" s="13">
        <f>ROUND(C45/G45,2)</f>
        <v>0.63</v>
      </c>
      <c r="D46" s="13">
        <f>ROUND(D45/G45,2)</f>
        <v>0</v>
      </c>
      <c r="E46" s="13">
        <f>ROUND(E45/G45,2)</f>
        <v>0.32</v>
      </c>
      <c r="F46" s="13">
        <f>ROUND(F45/G45,2)</f>
        <v>0.06</v>
      </c>
      <c r="G46" s="14"/>
      <c r="H46" s="14"/>
      <c r="I46" s="18"/>
      <c r="J46" s="18"/>
    </row>
    <row r="47" spans="1:10" x14ac:dyDescent="0.25">
      <c r="A47" s="2" t="s">
        <v>53</v>
      </c>
      <c r="B47" s="2"/>
      <c r="C47" s="14"/>
      <c r="D47" s="14"/>
      <c r="E47" s="14"/>
      <c r="F47" s="14"/>
      <c r="G47" s="14"/>
      <c r="H47" s="14"/>
      <c r="I47" s="18"/>
      <c r="J47" s="18"/>
    </row>
    <row r="48" spans="1:10" x14ac:dyDescent="0.25">
      <c r="C48" s="9"/>
      <c r="D48" s="9"/>
      <c r="E48" s="9"/>
      <c r="F48" s="9"/>
      <c r="G48" s="9"/>
      <c r="H48" s="9"/>
      <c r="I48" s="10"/>
      <c r="J48" s="10"/>
    </row>
    <row r="49" spans="1:10" x14ac:dyDescent="0.25">
      <c r="C49" s="9"/>
      <c r="D49" s="9"/>
      <c r="E49" s="9"/>
      <c r="F49" s="9"/>
      <c r="G49" s="9"/>
      <c r="H49" s="9"/>
      <c r="I49" s="10"/>
      <c r="J49" s="10"/>
    </row>
    <row r="50" spans="1:10" x14ac:dyDescent="0.25">
      <c r="C50" s="9"/>
      <c r="D50" s="9"/>
      <c r="E50" s="9"/>
      <c r="F50" s="9"/>
      <c r="G50" s="9"/>
      <c r="H50" s="9"/>
      <c r="I50" s="10"/>
      <c r="J50" s="10"/>
    </row>
    <row r="51" spans="1:10" x14ac:dyDescent="0.25">
      <c r="A51" s="26" t="s">
        <v>54</v>
      </c>
      <c r="B51" s="26"/>
      <c r="C51" s="12" t="s">
        <v>8</v>
      </c>
      <c r="D51" s="12" t="s">
        <v>9</v>
      </c>
      <c r="E51" s="12" t="s">
        <v>10</v>
      </c>
      <c r="F51" s="12" t="s">
        <v>11</v>
      </c>
      <c r="G51" s="12" t="s">
        <v>12</v>
      </c>
      <c r="H51" s="15" t="s">
        <v>13</v>
      </c>
      <c r="I51" s="18"/>
      <c r="J51" s="18"/>
    </row>
    <row r="52" spans="1:10" x14ac:dyDescent="0.25">
      <c r="A52" s="21" t="s">
        <v>55</v>
      </c>
      <c r="B52" s="21"/>
      <c r="C52" s="11">
        <v>938130</v>
      </c>
      <c r="D52" s="11">
        <v>86</v>
      </c>
      <c r="E52" s="11">
        <v>630907</v>
      </c>
      <c r="F52" s="11">
        <v>24365</v>
      </c>
      <c r="G52" s="11">
        <f>SUM(C52:F52)</f>
        <v>1593488</v>
      </c>
      <c r="H52" s="17">
        <f>ROUND(G52/4801,2)</f>
        <v>331.91</v>
      </c>
      <c r="I52" s="10"/>
      <c r="J52" s="10"/>
    </row>
    <row r="53" spans="1:10" x14ac:dyDescent="0.25">
      <c r="A53" s="21" t="s">
        <v>56</v>
      </c>
      <c r="B53" s="21"/>
      <c r="C53" s="11">
        <v>468240</v>
      </c>
      <c r="D53" s="11">
        <v>0</v>
      </c>
      <c r="E53" s="11">
        <v>85700</v>
      </c>
      <c r="F53" s="11">
        <v>101020</v>
      </c>
      <c r="G53" s="11">
        <f>SUM(C53:F53)</f>
        <v>654960</v>
      </c>
      <c r="H53" s="17">
        <f>ROUND(G53/4801,2)</f>
        <v>136.41999999999999</v>
      </c>
      <c r="I53" s="10"/>
      <c r="J53" s="10"/>
    </row>
    <row r="54" spans="1:10" x14ac:dyDescent="0.25">
      <c r="A54" s="21" t="s">
        <v>57</v>
      </c>
      <c r="B54" s="21"/>
      <c r="C54" s="11">
        <v>0</v>
      </c>
      <c r="D54" s="11">
        <v>0</v>
      </c>
      <c r="E54" s="11">
        <v>0</v>
      </c>
      <c r="F54" s="11">
        <v>0</v>
      </c>
      <c r="G54" s="11">
        <f>SUM(C54:F54)</f>
        <v>0</v>
      </c>
      <c r="H54" s="17">
        <f>ROUND(G54/4801,2)</f>
        <v>0</v>
      </c>
      <c r="I54" s="10"/>
      <c r="J54" s="10"/>
    </row>
    <row r="55" spans="1:10" x14ac:dyDescent="0.25">
      <c r="C55" s="9"/>
      <c r="D55" s="9"/>
      <c r="E55" s="9"/>
      <c r="F55" s="9"/>
      <c r="G55" s="9"/>
      <c r="H55" s="9"/>
      <c r="I55" s="10"/>
      <c r="J55" s="10"/>
    </row>
    <row r="56" spans="1:10" x14ac:dyDescent="0.25">
      <c r="C56" s="9"/>
      <c r="D56" s="9"/>
      <c r="E56" s="9"/>
      <c r="F56" s="9"/>
      <c r="G56" s="9"/>
      <c r="H56" s="9"/>
      <c r="I56" s="10"/>
      <c r="J56" s="10"/>
    </row>
    <row r="57" spans="1:10" x14ac:dyDescent="0.25">
      <c r="C57" s="9"/>
      <c r="D57" s="9"/>
      <c r="E57" s="9"/>
      <c r="F57" s="9"/>
      <c r="G57" s="9"/>
      <c r="H57" s="9"/>
      <c r="I57" s="10"/>
      <c r="J57" s="10"/>
    </row>
    <row r="58" spans="1:10" x14ac:dyDescent="0.25">
      <c r="C58" s="9"/>
      <c r="D58" s="9"/>
      <c r="E58" s="9"/>
      <c r="F58" s="9"/>
      <c r="G58" s="9"/>
      <c r="H58" s="9"/>
      <c r="I58" s="10"/>
      <c r="J58" s="10"/>
    </row>
    <row r="59" spans="1:10" x14ac:dyDescent="0.25">
      <c r="A59" s="26" t="s">
        <v>58</v>
      </c>
      <c r="B59" s="26"/>
      <c r="C59" s="15" t="s">
        <v>2</v>
      </c>
      <c r="D59" s="15">
        <v>2024</v>
      </c>
      <c r="E59" s="15" t="s">
        <v>60</v>
      </c>
      <c r="F59" s="14"/>
      <c r="G59" s="15" t="s">
        <v>61</v>
      </c>
      <c r="H59" s="15" t="s">
        <v>2</v>
      </c>
      <c r="I59" s="13" t="s">
        <v>62</v>
      </c>
      <c r="J59" s="13" t="s">
        <v>60</v>
      </c>
    </row>
    <row r="60" spans="1:10" x14ac:dyDescent="0.25">
      <c r="A60" s="21" t="s">
        <v>59</v>
      </c>
      <c r="B60" s="21"/>
      <c r="C60" s="16">
        <f>ROUND(0.7741, 4)</f>
        <v>0.77410000000000001</v>
      </c>
      <c r="D60" s="16">
        <f>ROUND(0.7816, 4)</f>
        <v>0.78159999999999996</v>
      </c>
      <c r="E60" s="16">
        <f>ROUND(0.7856, 4)</f>
        <v>0.78559999999999997</v>
      </c>
      <c r="F60" s="9"/>
      <c r="G60" s="15" t="s">
        <v>63</v>
      </c>
      <c r="H60" s="27" t="s">
        <v>64</v>
      </c>
      <c r="I60" s="24" t="s">
        <v>65</v>
      </c>
      <c r="J60" s="24" t="s">
        <v>66</v>
      </c>
    </row>
    <row r="61" spans="1:10" x14ac:dyDescent="0.25">
      <c r="A61" s="21" t="s">
        <v>67</v>
      </c>
      <c r="B61" s="21"/>
      <c r="C61" s="16">
        <f>ROUND(0.7741, 4)</f>
        <v>0.77410000000000001</v>
      </c>
      <c r="D61" s="16">
        <f>ROUND(0.7727, 4)</f>
        <v>0.77270000000000005</v>
      </c>
      <c r="E61" s="16">
        <f>ROUND(0.7702, 4)</f>
        <v>0.7702</v>
      </c>
      <c r="F61" s="9"/>
      <c r="G61" s="15" t="s">
        <v>68</v>
      </c>
      <c r="H61" s="28"/>
      <c r="I61" s="25"/>
      <c r="J61" s="25"/>
    </row>
    <row r="62" spans="1:10" x14ac:dyDescent="0.25">
      <c r="C62" s="9"/>
      <c r="D62" s="9"/>
      <c r="E62" s="9"/>
      <c r="F62" s="9"/>
      <c r="G62" s="9"/>
      <c r="H62" s="9"/>
      <c r="I62" s="10"/>
      <c r="J62" s="10"/>
    </row>
    <row r="63" spans="1:10" x14ac:dyDescent="0.25">
      <c r="C63" s="9"/>
      <c r="D63" s="9"/>
      <c r="E63" s="9"/>
      <c r="F63" s="9"/>
      <c r="G63" s="9"/>
      <c r="H63" s="9"/>
      <c r="I63" s="10"/>
      <c r="J63" s="10"/>
    </row>
    <row r="64" spans="1:10" x14ac:dyDescent="0.25">
      <c r="C64" s="9"/>
      <c r="D64" s="9"/>
      <c r="E64" s="9"/>
      <c r="F64" s="9"/>
      <c r="G64" s="9"/>
      <c r="H64" s="9"/>
      <c r="I64" s="10"/>
      <c r="J64" s="10"/>
    </row>
    <row r="65" spans="1:10" x14ac:dyDescent="0.25">
      <c r="A65" s="26" t="s">
        <v>69</v>
      </c>
      <c r="B65" s="26"/>
      <c r="C65" s="15" t="s">
        <v>2</v>
      </c>
      <c r="D65" s="15" t="s">
        <v>221</v>
      </c>
      <c r="E65" s="15" t="s">
        <v>71</v>
      </c>
      <c r="F65" s="15" t="s">
        <v>72</v>
      </c>
      <c r="G65" s="15" t="s">
        <v>73</v>
      </c>
      <c r="H65" s="14"/>
      <c r="I65" s="18"/>
      <c r="J65" s="18"/>
    </row>
    <row r="66" spans="1:10" x14ac:dyDescent="0.25">
      <c r="A66" s="21" t="s">
        <v>74</v>
      </c>
      <c r="B66" s="21"/>
      <c r="C66" s="17">
        <v>100.86</v>
      </c>
      <c r="D66" s="17">
        <v>94.31</v>
      </c>
      <c r="E66" s="17">
        <v>96.15</v>
      </c>
      <c r="F66" s="17">
        <v>57.94</v>
      </c>
      <c r="G66" s="17">
        <f>12/12*C66</f>
        <v>100.86</v>
      </c>
      <c r="H66" s="9"/>
      <c r="I66" s="10"/>
      <c r="J66" s="10"/>
    </row>
    <row r="67" spans="1:10" x14ac:dyDescent="0.25">
      <c r="A67" s="21" t="s">
        <v>75</v>
      </c>
      <c r="B67" s="21"/>
      <c r="C67" s="17">
        <v>70.209999999999994</v>
      </c>
      <c r="D67" s="17">
        <v>68.95</v>
      </c>
      <c r="E67" s="17">
        <v>62.28</v>
      </c>
      <c r="F67" s="17">
        <v>66.599999999999994</v>
      </c>
      <c r="G67" s="17">
        <f>12/12*C67</f>
        <v>70.209999999999994</v>
      </c>
      <c r="H67" s="9"/>
      <c r="I67" s="10"/>
      <c r="J67" s="10"/>
    </row>
    <row r="68" spans="1:10" x14ac:dyDescent="0.25">
      <c r="A68" s="21" t="s">
        <v>76</v>
      </c>
      <c r="B68" s="21"/>
      <c r="C68" s="17">
        <v>331.91</v>
      </c>
      <c r="D68" s="17">
        <v>419.63</v>
      </c>
      <c r="E68" s="17">
        <v>300.02</v>
      </c>
      <c r="F68" s="17">
        <v>295.08</v>
      </c>
      <c r="G68" s="17">
        <f>12/12*C68</f>
        <v>331.91</v>
      </c>
      <c r="H68" s="9"/>
      <c r="I68" s="10"/>
      <c r="J68" s="10"/>
    </row>
    <row r="69" spans="1:10" x14ac:dyDescent="0.25">
      <c r="A69" s="21" t="s">
        <v>77</v>
      </c>
      <c r="B69" s="21"/>
      <c r="C69" s="17">
        <v>136.41999999999999</v>
      </c>
      <c r="D69" s="17">
        <v>128.18</v>
      </c>
      <c r="E69" s="17">
        <v>120.96</v>
      </c>
      <c r="F69" s="17">
        <v>83.12</v>
      </c>
      <c r="G69" s="17">
        <f>12/12*C69</f>
        <v>136.41999999999999</v>
      </c>
      <c r="H69" s="9"/>
      <c r="I69" s="10"/>
      <c r="J69" s="10"/>
    </row>
    <row r="70" spans="1:10" x14ac:dyDescent="0.25">
      <c r="C70" s="9"/>
      <c r="D70" s="9"/>
      <c r="E70" s="9"/>
      <c r="F70" s="9"/>
      <c r="G70" s="9"/>
      <c r="H70" s="9"/>
      <c r="I70" s="10"/>
      <c r="J70" s="10"/>
    </row>
    <row r="71" spans="1:10" x14ac:dyDescent="0.25">
      <c r="C71" s="9"/>
      <c r="D71" s="9"/>
      <c r="E71" s="9"/>
      <c r="F71" s="9"/>
      <c r="G71" s="9"/>
      <c r="H71" s="9"/>
      <c r="I71" s="10"/>
      <c r="J71" s="10"/>
    </row>
    <row r="72" spans="1:10" x14ac:dyDescent="0.25">
      <c r="A72" s="22" t="s">
        <v>61</v>
      </c>
      <c r="B72" s="23"/>
      <c r="C72" s="9"/>
      <c r="D72" s="9"/>
      <c r="E72" s="9"/>
      <c r="F72" s="9"/>
      <c r="G72" s="9"/>
      <c r="H72" s="9"/>
      <c r="I72" s="10"/>
      <c r="J72" s="10"/>
    </row>
    <row r="73" spans="1:10" x14ac:dyDescent="0.25">
      <c r="A73" s="3" t="s">
        <v>78</v>
      </c>
      <c r="B73" s="1" t="s">
        <v>222</v>
      </c>
      <c r="C73" s="9"/>
      <c r="D73" s="9"/>
      <c r="E73" s="9"/>
      <c r="F73" s="9"/>
      <c r="G73" s="9"/>
      <c r="H73" s="9"/>
      <c r="I73" s="10"/>
      <c r="J73" s="10"/>
    </row>
    <row r="74" spans="1:10" x14ac:dyDescent="0.25">
      <c r="A74" s="3" t="s">
        <v>71</v>
      </c>
      <c r="B74" s="1" t="s">
        <v>80</v>
      </c>
      <c r="C74" s="9"/>
      <c r="D74" s="9"/>
      <c r="E74" s="9"/>
      <c r="F74" s="9"/>
      <c r="G74" s="9"/>
      <c r="H74" s="9"/>
      <c r="I74" s="10"/>
      <c r="J74" s="10"/>
    </row>
    <row r="75" spans="1:10" x14ac:dyDescent="0.25">
      <c r="A75" s="3" t="s">
        <v>72</v>
      </c>
      <c r="B75" s="1" t="s">
        <v>81</v>
      </c>
      <c r="C75" s="9"/>
      <c r="D75" s="9"/>
      <c r="E75" s="9"/>
      <c r="F75" s="9"/>
      <c r="G75" s="9"/>
      <c r="H75" s="9"/>
      <c r="I75" s="10"/>
      <c r="J75" s="10"/>
    </row>
    <row r="76" spans="1:10" x14ac:dyDescent="0.25">
      <c r="A76" s="3" t="s">
        <v>73</v>
      </c>
      <c r="B76" s="1" t="s">
        <v>82</v>
      </c>
    </row>
  </sheetData>
  <mergeCells count="19">
    <mergeCell ref="C7:G7"/>
    <mergeCell ref="A45:B45"/>
    <mergeCell ref="A46:B46"/>
    <mergeCell ref="A51:B51"/>
    <mergeCell ref="A52:B52"/>
    <mergeCell ref="J60:J61"/>
    <mergeCell ref="A61:B61"/>
    <mergeCell ref="A65:B65"/>
    <mergeCell ref="A66:B66"/>
    <mergeCell ref="A53:B53"/>
    <mergeCell ref="A54:B54"/>
    <mergeCell ref="A59:B59"/>
    <mergeCell ref="A60:B60"/>
    <mergeCell ref="H60:H61"/>
    <mergeCell ref="A67:B67"/>
    <mergeCell ref="A68:B68"/>
    <mergeCell ref="A69:B69"/>
    <mergeCell ref="A72:B72"/>
    <mergeCell ref="I60:I61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J75"/>
  <sheetViews>
    <sheetView workbookViewId="0">
      <selection activeCell="H5" sqref="H5"/>
    </sheetView>
  </sheetViews>
  <sheetFormatPr defaultRowHeight="15" x14ac:dyDescent="0.25"/>
  <cols>
    <col min="1" max="1" width="28.42578125" bestFit="1" customWidth="1"/>
    <col min="2" max="2" width="112" bestFit="1" customWidth="1"/>
    <col min="3" max="3" width="12.7109375" bestFit="1" customWidth="1"/>
    <col min="4" max="4" width="23.7109375" bestFit="1" customWidth="1"/>
    <col min="5" max="5" width="13.85546875" bestFit="1" customWidth="1"/>
    <col min="6" max="6" width="8.5703125" bestFit="1" customWidth="1"/>
    <col min="7" max="7" width="47.7109375" bestFit="1" customWidth="1"/>
    <col min="8" max="9" width="16.7109375" bestFit="1" customWidth="1"/>
    <col min="10" max="10" width="24.42578125" bestFit="1" customWidth="1"/>
  </cols>
  <sheetData>
    <row r="2" spans="1:10" ht="18.75" x14ac:dyDescent="0.3">
      <c r="A2" s="3" t="s">
        <v>0</v>
      </c>
      <c r="B2" s="4" t="s">
        <v>223</v>
      </c>
    </row>
    <row r="3" spans="1:10" x14ac:dyDescent="0.25">
      <c r="A3" s="3" t="s">
        <v>2</v>
      </c>
      <c r="B3" s="1" t="s">
        <v>3</v>
      </c>
    </row>
    <row r="4" spans="1:10" x14ac:dyDescent="0.25">
      <c r="A4" s="3" t="s">
        <v>4</v>
      </c>
      <c r="B4" s="20">
        <v>2406</v>
      </c>
    </row>
    <row r="7" spans="1:10" x14ac:dyDescent="0.25">
      <c r="C7" s="22" t="s">
        <v>5</v>
      </c>
      <c r="D7" s="21"/>
      <c r="E7" s="21"/>
      <c r="F7" s="21"/>
      <c r="G7" s="21"/>
    </row>
    <row r="8" spans="1:10" x14ac:dyDescent="0.25">
      <c r="A8" s="3" t="s">
        <v>6</v>
      </c>
      <c r="B8" s="3" t="s">
        <v>7</v>
      </c>
      <c r="C8" s="15" t="s">
        <v>8</v>
      </c>
      <c r="D8" s="15" t="s">
        <v>9</v>
      </c>
      <c r="E8" s="15" t="s">
        <v>10</v>
      </c>
      <c r="F8" s="15" t="s">
        <v>11</v>
      </c>
      <c r="G8" s="15" t="s">
        <v>12</v>
      </c>
      <c r="H8" s="15" t="s">
        <v>13</v>
      </c>
      <c r="I8" s="15" t="s">
        <v>14</v>
      </c>
      <c r="J8" s="15" t="s">
        <v>15</v>
      </c>
    </row>
    <row r="9" spans="1:10" x14ac:dyDescent="0.25">
      <c r="A9" s="1" t="s">
        <v>16</v>
      </c>
      <c r="B9" s="1" t="s">
        <v>17</v>
      </c>
      <c r="C9" s="11"/>
      <c r="D9" s="11"/>
      <c r="E9" s="11">
        <v>42</v>
      </c>
      <c r="F9" s="11"/>
      <c r="G9" s="11">
        <f t="shared" ref="G9:G43" si="0">SUM(C9:F9)</f>
        <v>42</v>
      </c>
      <c r="H9" s="17">
        <f t="shared" ref="H9:H43" si="1">ROUND(G9/2406,2)</f>
        <v>0.02</v>
      </c>
      <c r="I9" s="16">
        <f t="shared" ref="I9:I43" si="2">ROUND(G9/$G$44,3)</f>
        <v>0</v>
      </c>
      <c r="J9" s="16">
        <f>ROUND(G9/114-1,2)</f>
        <v>-0.63</v>
      </c>
    </row>
    <row r="10" spans="1:10" x14ac:dyDescent="0.25">
      <c r="A10" s="1" t="s">
        <v>16</v>
      </c>
      <c r="B10" s="1" t="s">
        <v>19</v>
      </c>
      <c r="C10" s="11">
        <v>67010</v>
      </c>
      <c r="D10" s="11"/>
      <c r="E10" s="11"/>
      <c r="F10" s="11"/>
      <c r="G10" s="11">
        <f t="shared" si="0"/>
        <v>67010</v>
      </c>
      <c r="H10" s="17">
        <f t="shared" si="1"/>
        <v>27.85</v>
      </c>
      <c r="I10" s="16">
        <f t="shared" si="2"/>
        <v>7.2999999999999995E-2</v>
      </c>
      <c r="J10" s="16">
        <f>ROUND(G10/65300-1,2)</f>
        <v>0.03</v>
      </c>
    </row>
    <row r="11" spans="1:10" x14ac:dyDescent="0.25">
      <c r="A11" s="1" t="s">
        <v>16</v>
      </c>
      <c r="B11" s="1" t="s">
        <v>20</v>
      </c>
      <c r="C11" s="11">
        <v>105080</v>
      </c>
      <c r="D11" s="11"/>
      <c r="E11" s="11"/>
      <c r="F11" s="11"/>
      <c r="G11" s="11">
        <f t="shared" si="0"/>
        <v>105080</v>
      </c>
      <c r="H11" s="17">
        <f t="shared" si="1"/>
        <v>43.67</v>
      </c>
      <c r="I11" s="16">
        <f t="shared" si="2"/>
        <v>0.114</v>
      </c>
      <c r="J11" s="16">
        <f>ROUND(G11/112410-1,2)</f>
        <v>-7.0000000000000007E-2</v>
      </c>
    </row>
    <row r="12" spans="1:10" x14ac:dyDescent="0.25">
      <c r="A12" s="1" t="s">
        <v>16</v>
      </c>
      <c r="B12" s="1" t="s">
        <v>87</v>
      </c>
      <c r="C12" s="11"/>
      <c r="D12" s="11"/>
      <c r="E12" s="11">
        <v>187</v>
      </c>
      <c r="F12" s="11"/>
      <c r="G12" s="11">
        <f t="shared" si="0"/>
        <v>187</v>
      </c>
      <c r="H12" s="17">
        <f t="shared" si="1"/>
        <v>0.08</v>
      </c>
      <c r="I12" s="16">
        <f t="shared" si="2"/>
        <v>0</v>
      </c>
      <c r="J12" s="16">
        <f>ROUND(G12/144-1,2)</f>
        <v>0.3</v>
      </c>
    </row>
    <row r="13" spans="1:10" x14ac:dyDescent="0.25">
      <c r="A13" s="1" t="s">
        <v>16</v>
      </c>
      <c r="B13" s="1" t="s">
        <v>21</v>
      </c>
      <c r="C13" s="11"/>
      <c r="D13" s="11"/>
      <c r="E13" s="11">
        <v>406</v>
      </c>
      <c r="F13" s="11"/>
      <c r="G13" s="11">
        <f t="shared" si="0"/>
        <v>406</v>
      </c>
      <c r="H13" s="17">
        <f t="shared" si="1"/>
        <v>0.17</v>
      </c>
      <c r="I13" s="16">
        <f t="shared" si="2"/>
        <v>0</v>
      </c>
      <c r="J13" s="16">
        <f>ROUND(G13/274-1,2)</f>
        <v>0.48</v>
      </c>
    </row>
    <row r="14" spans="1:10" x14ac:dyDescent="0.25">
      <c r="A14" s="1" t="s">
        <v>16</v>
      </c>
      <c r="B14" s="1" t="s">
        <v>22</v>
      </c>
      <c r="C14" s="11"/>
      <c r="D14" s="11"/>
      <c r="E14" s="11">
        <v>1700</v>
      </c>
      <c r="F14" s="11"/>
      <c r="G14" s="11">
        <f t="shared" si="0"/>
        <v>1700</v>
      </c>
      <c r="H14" s="17">
        <f t="shared" si="1"/>
        <v>0.71</v>
      </c>
      <c r="I14" s="16">
        <f t="shared" si="2"/>
        <v>2E-3</v>
      </c>
      <c r="J14" s="16">
        <f>ROUND(G14/1800-1,2)</f>
        <v>-0.06</v>
      </c>
    </row>
    <row r="15" spans="1:10" x14ac:dyDescent="0.25">
      <c r="A15" s="1" t="s">
        <v>16</v>
      </c>
      <c r="B15" s="1" t="s">
        <v>23</v>
      </c>
      <c r="C15" s="11"/>
      <c r="D15" s="11"/>
      <c r="E15" s="11">
        <v>45200</v>
      </c>
      <c r="F15" s="11"/>
      <c r="G15" s="11">
        <f t="shared" si="0"/>
        <v>45200</v>
      </c>
      <c r="H15" s="17">
        <f t="shared" si="1"/>
        <v>18.79</v>
      </c>
      <c r="I15" s="16">
        <f t="shared" si="2"/>
        <v>4.9000000000000002E-2</v>
      </c>
      <c r="J15" s="16">
        <f>ROUND(G15/44890-1,2)</f>
        <v>0.01</v>
      </c>
    </row>
    <row r="16" spans="1:10" x14ac:dyDescent="0.25">
      <c r="A16" s="1" t="s">
        <v>16</v>
      </c>
      <c r="B16" s="1" t="s">
        <v>24</v>
      </c>
      <c r="C16" s="11">
        <v>101020</v>
      </c>
      <c r="D16" s="11"/>
      <c r="E16" s="11"/>
      <c r="F16" s="11"/>
      <c r="G16" s="11">
        <f t="shared" si="0"/>
        <v>101020</v>
      </c>
      <c r="H16" s="17">
        <f t="shared" si="1"/>
        <v>41.99</v>
      </c>
      <c r="I16" s="16">
        <f t="shared" si="2"/>
        <v>0.11</v>
      </c>
      <c r="J16" s="16">
        <f>ROUND(G16/107400-1,2)</f>
        <v>-0.06</v>
      </c>
    </row>
    <row r="17" spans="1:10" x14ac:dyDescent="0.25">
      <c r="A17" s="1" t="s">
        <v>16</v>
      </c>
      <c r="B17" s="1" t="s">
        <v>25</v>
      </c>
      <c r="C17" s="11"/>
      <c r="D17" s="11"/>
      <c r="E17" s="11">
        <v>2440</v>
      </c>
      <c r="F17" s="11"/>
      <c r="G17" s="11">
        <f t="shared" si="0"/>
        <v>2440</v>
      </c>
      <c r="H17" s="17">
        <f t="shared" si="1"/>
        <v>1.01</v>
      </c>
      <c r="I17" s="16">
        <f t="shared" si="2"/>
        <v>3.0000000000000001E-3</v>
      </c>
      <c r="J17" s="16">
        <f>ROUND(G17/3810-1,2)</f>
        <v>-0.36</v>
      </c>
    </row>
    <row r="18" spans="1:10" x14ac:dyDescent="0.25">
      <c r="A18" s="1" t="s">
        <v>16</v>
      </c>
      <c r="B18" s="1" t="s">
        <v>26</v>
      </c>
      <c r="C18" s="11">
        <v>158640</v>
      </c>
      <c r="D18" s="11"/>
      <c r="E18" s="11"/>
      <c r="F18" s="11">
        <v>3750</v>
      </c>
      <c r="G18" s="11">
        <f t="shared" si="0"/>
        <v>162390</v>
      </c>
      <c r="H18" s="17">
        <f t="shared" si="1"/>
        <v>67.489999999999995</v>
      </c>
      <c r="I18" s="16">
        <f t="shared" si="2"/>
        <v>0.17599999999999999</v>
      </c>
      <c r="J18" s="16">
        <f>ROUND(G18/162640-1,2)</f>
        <v>0</v>
      </c>
    </row>
    <row r="19" spans="1:10" x14ac:dyDescent="0.25">
      <c r="A19" s="1" t="s">
        <v>16</v>
      </c>
      <c r="B19" s="1" t="s">
        <v>27</v>
      </c>
      <c r="C19" s="11"/>
      <c r="D19" s="11"/>
      <c r="E19" s="11">
        <v>820</v>
      </c>
      <c r="F19" s="11"/>
      <c r="G19" s="11">
        <f t="shared" si="0"/>
        <v>820</v>
      </c>
      <c r="H19" s="17">
        <f t="shared" si="1"/>
        <v>0.34</v>
      </c>
      <c r="I19" s="16">
        <f t="shared" si="2"/>
        <v>1E-3</v>
      </c>
      <c r="J19" s="16">
        <f>ROUND(G19/666-1,2)</f>
        <v>0.23</v>
      </c>
    </row>
    <row r="20" spans="1:10" x14ac:dyDescent="0.25">
      <c r="A20" s="1" t="s">
        <v>16</v>
      </c>
      <c r="B20" s="1" t="s">
        <v>28</v>
      </c>
      <c r="C20" s="11"/>
      <c r="D20" s="11"/>
      <c r="E20" s="11">
        <v>615</v>
      </c>
      <c r="F20" s="11"/>
      <c r="G20" s="11">
        <f t="shared" si="0"/>
        <v>615</v>
      </c>
      <c r="H20" s="17">
        <f t="shared" si="1"/>
        <v>0.26</v>
      </c>
      <c r="I20" s="16">
        <f t="shared" si="2"/>
        <v>1E-3</v>
      </c>
      <c r="J20" s="16">
        <f>ROUND(G20/387-1,2)</f>
        <v>0.59</v>
      </c>
    </row>
    <row r="21" spans="1:10" x14ac:dyDescent="0.25">
      <c r="A21" s="1" t="s">
        <v>16</v>
      </c>
      <c r="B21" s="1" t="s">
        <v>29</v>
      </c>
      <c r="C21" s="11"/>
      <c r="D21" s="11"/>
      <c r="E21" s="11">
        <v>133</v>
      </c>
      <c r="F21" s="11"/>
      <c r="G21" s="11">
        <f t="shared" si="0"/>
        <v>133</v>
      </c>
      <c r="H21" s="17">
        <f t="shared" si="1"/>
        <v>0.06</v>
      </c>
      <c r="I21" s="16">
        <f t="shared" si="2"/>
        <v>0</v>
      </c>
      <c r="J21" s="16">
        <f>ROUND(G21/102-1,2)</f>
        <v>0.3</v>
      </c>
    </row>
    <row r="22" spans="1:10" x14ac:dyDescent="0.25">
      <c r="A22" s="1" t="s">
        <v>16</v>
      </c>
      <c r="B22" s="1" t="s">
        <v>30</v>
      </c>
      <c r="C22" s="11"/>
      <c r="D22" s="11"/>
      <c r="E22" s="11">
        <v>3250</v>
      </c>
      <c r="F22" s="11"/>
      <c r="G22" s="11">
        <f t="shared" si="0"/>
        <v>3250</v>
      </c>
      <c r="H22" s="17">
        <f t="shared" si="1"/>
        <v>1.35</v>
      </c>
      <c r="I22" s="16">
        <f t="shared" si="2"/>
        <v>4.0000000000000001E-3</v>
      </c>
      <c r="J22" s="16">
        <f>ROUND(G22/4390-1,2)</f>
        <v>-0.26</v>
      </c>
    </row>
    <row r="23" spans="1:10" x14ac:dyDescent="0.25">
      <c r="A23" s="1" t="s">
        <v>16</v>
      </c>
      <c r="B23" s="1" t="s">
        <v>31</v>
      </c>
      <c r="C23" s="11"/>
      <c r="D23" s="11"/>
      <c r="E23" s="11">
        <v>1330</v>
      </c>
      <c r="F23" s="11"/>
      <c r="G23" s="11">
        <f t="shared" si="0"/>
        <v>1330</v>
      </c>
      <c r="H23" s="17">
        <f t="shared" si="1"/>
        <v>0.55000000000000004</v>
      </c>
      <c r="I23" s="16">
        <f t="shared" si="2"/>
        <v>1E-3</v>
      </c>
      <c r="J23" s="16">
        <f>ROUND(G23/1120-1,2)</f>
        <v>0.19</v>
      </c>
    </row>
    <row r="24" spans="1:10" x14ac:dyDescent="0.25">
      <c r="A24" s="1" t="s">
        <v>16</v>
      </c>
      <c r="B24" s="1" t="s">
        <v>32</v>
      </c>
      <c r="C24" s="11"/>
      <c r="D24" s="11"/>
      <c r="E24" s="11">
        <v>690</v>
      </c>
      <c r="F24" s="11"/>
      <c r="G24" s="11">
        <f t="shared" si="0"/>
        <v>690</v>
      </c>
      <c r="H24" s="17">
        <f t="shared" si="1"/>
        <v>0.28999999999999998</v>
      </c>
      <c r="I24" s="16">
        <f t="shared" si="2"/>
        <v>1E-3</v>
      </c>
      <c r="J24" s="16">
        <f>ROUND(G24/435-1,2)</f>
        <v>0.59</v>
      </c>
    </row>
    <row r="25" spans="1:10" x14ac:dyDescent="0.25">
      <c r="A25" s="1" t="s">
        <v>16</v>
      </c>
      <c r="B25" s="1" t="s">
        <v>33</v>
      </c>
      <c r="C25" s="11"/>
      <c r="D25" s="11"/>
      <c r="E25" s="11">
        <v>1519</v>
      </c>
      <c r="F25" s="11"/>
      <c r="G25" s="11">
        <f t="shared" si="0"/>
        <v>1519</v>
      </c>
      <c r="H25" s="17">
        <f t="shared" si="1"/>
        <v>0.63</v>
      </c>
      <c r="I25" s="16">
        <f t="shared" si="2"/>
        <v>2E-3</v>
      </c>
      <c r="J25" s="16">
        <f>ROUND(G25/1240-1,2)</f>
        <v>0.23</v>
      </c>
    </row>
    <row r="26" spans="1:10" x14ac:dyDescent="0.25">
      <c r="A26" s="1" t="s">
        <v>16</v>
      </c>
      <c r="B26" s="1" t="s">
        <v>34</v>
      </c>
      <c r="C26" s="11"/>
      <c r="D26" s="11">
        <v>27</v>
      </c>
      <c r="E26" s="11">
        <v>162</v>
      </c>
      <c r="F26" s="11"/>
      <c r="G26" s="11">
        <f t="shared" si="0"/>
        <v>189</v>
      </c>
      <c r="H26" s="17">
        <f t="shared" si="1"/>
        <v>0.08</v>
      </c>
      <c r="I26" s="16">
        <f t="shared" si="2"/>
        <v>0</v>
      </c>
      <c r="J26" s="16">
        <f>ROUND(G26/226-1,2)</f>
        <v>-0.16</v>
      </c>
    </row>
    <row r="27" spans="1:10" x14ac:dyDescent="0.25">
      <c r="A27" s="1" t="s">
        <v>16</v>
      </c>
      <c r="B27" s="1" t="s">
        <v>35</v>
      </c>
      <c r="C27" s="11"/>
      <c r="D27" s="11"/>
      <c r="E27" s="11">
        <v>1132</v>
      </c>
      <c r="F27" s="11"/>
      <c r="G27" s="11">
        <f t="shared" si="0"/>
        <v>1132</v>
      </c>
      <c r="H27" s="17">
        <f t="shared" si="1"/>
        <v>0.47</v>
      </c>
      <c r="I27" s="16">
        <f t="shared" si="2"/>
        <v>1E-3</v>
      </c>
      <c r="J27" s="16">
        <f>ROUND(G27/1960-1,2)</f>
        <v>-0.42</v>
      </c>
    </row>
    <row r="28" spans="1:10" x14ac:dyDescent="0.25">
      <c r="A28" s="1" t="s">
        <v>16</v>
      </c>
      <c r="B28" s="1" t="s">
        <v>37</v>
      </c>
      <c r="C28" s="11"/>
      <c r="D28" s="11"/>
      <c r="E28" s="11">
        <v>1860</v>
      </c>
      <c r="F28" s="11"/>
      <c r="G28" s="11">
        <f t="shared" si="0"/>
        <v>1860</v>
      </c>
      <c r="H28" s="17">
        <f t="shared" si="1"/>
        <v>0.77</v>
      </c>
      <c r="I28" s="16">
        <f t="shared" si="2"/>
        <v>2E-3</v>
      </c>
      <c r="J28" s="16">
        <f>ROUND(G28/1900-1,2)</f>
        <v>-0.02</v>
      </c>
    </row>
    <row r="29" spans="1:10" x14ac:dyDescent="0.25">
      <c r="A29" s="1" t="s">
        <v>16</v>
      </c>
      <c r="B29" s="1" t="s">
        <v>39</v>
      </c>
      <c r="C29" s="11"/>
      <c r="D29" s="11"/>
      <c r="E29" s="11">
        <v>9140</v>
      </c>
      <c r="F29" s="11"/>
      <c r="G29" s="11">
        <f t="shared" si="0"/>
        <v>9140</v>
      </c>
      <c r="H29" s="17">
        <f t="shared" si="1"/>
        <v>3.8</v>
      </c>
      <c r="I29" s="16">
        <f t="shared" si="2"/>
        <v>0.01</v>
      </c>
      <c r="J29" s="16">
        <f>ROUND(G29/5385-1,2)</f>
        <v>0.7</v>
      </c>
    </row>
    <row r="30" spans="1:10" x14ac:dyDescent="0.25">
      <c r="A30" s="1" t="s">
        <v>16</v>
      </c>
      <c r="B30" s="1" t="s">
        <v>38</v>
      </c>
      <c r="C30" s="11"/>
      <c r="D30" s="11"/>
      <c r="E30" s="11">
        <v>2630</v>
      </c>
      <c r="F30" s="11"/>
      <c r="G30" s="11">
        <f t="shared" si="0"/>
        <v>2630</v>
      </c>
      <c r="H30" s="17">
        <f t="shared" si="1"/>
        <v>1.0900000000000001</v>
      </c>
      <c r="I30" s="16">
        <f t="shared" si="2"/>
        <v>3.0000000000000001E-3</v>
      </c>
      <c r="J30" s="16">
        <f>ROUND(G30/5440-1,2)</f>
        <v>-0.52</v>
      </c>
    </row>
    <row r="31" spans="1:10" x14ac:dyDescent="0.25">
      <c r="A31" s="1" t="s">
        <v>16</v>
      </c>
      <c r="B31" s="1" t="s">
        <v>40</v>
      </c>
      <c r="C31" s="11"/>
      <c r="D31" s="11"/>
      <c r="E31" s="11">
        <v>61810</v>
      </c>
      <c r="F31" s="11"/>
      <c r="G31" s="11">
        <f t="shared" si="0"/>
        <v>61810</v>
      </c>
      <c r="H31" s="17">
        <f t="shared" si="1"/>
        <v>25.69</v>
      </c>
      <c r="I31" s="16">
        <f t="shared" si="2"/>
        <v>6.7000000000000004E-2</v>
      </c>
      <c r="J31" s="16">
        <f>ROUND(G31/50455-1,2)</f>
        <v>0.23</v>
      </c>
    </row>
    <row r="32" spans="1:10" x14ac:dyDescent="0.25">
      <c r="A32" s="1" t="s">
        <v>16</v>
      </c>
      <c r="B32" s="1" t="s">
        <v>41</v>
      </c>
      <c r="C32" s="11"/>
      <c r="D32" s="11"/>
      <c r="E32" s="11">
        <v>4765</v>
      </c>
      <c r="F32" s="11"/>
      <c r="G32" s="11">
        <f t="shared" si="0"/>
        <v>4765</v>
      </c>
      <c r="H32" s="17">
        <f t="shared" si="1"/>
        <v>1.98</v>
      </c>
      <c r="I32" s="16">
        <f t="shared" si="2"/>
        <v>5.0000000000000001E-3</v>
      </c>
      <c r="J32" s="16">
        <f>ROUND(G32/3840-1,2)</f>
        <v>0.24</v>
      </c>
    </row>
    <row r="33" spans="1:10" x14ac:dyDescent="0.25">
      <c r="A33" s="1" t="s">
        <v>16</v>
      </c>
      <c r="B33" s="1" t="s">
        <v>42</v>
      </c>
      <c r="C33" s="11"/>
      <c r="D33" s="11"/>
      <c r="E33" s="11">
        <v>19050</v>
      </c>
      <c r="F33" s="11"/>
      <c r="G33" s="11">
        <f t="shared" si="0"/>
        <v>19050</v>
      </c>
      <c r="H33" s="17">
        <f t="shared" si="1"/>
        <v>7.92</v>
      </c>
      <c r="I33" s="16">
        <f t="shared" si="2"/>
        <v>2.1000000000000001E-2</v>
      </c>
      <c r="J33" s="16">
        <f>ROUND(G33/16310-1,2)</f>
        <v>0.17</v>
      </c>
    </row>
    <row r="34" spans="1:10" x14ac:dyDescent="0.25">
      <c r="A34" s="1" t="s">
        <v>16</v>
      </c>
      <c r="B34" s="1" t="s">
        <v>44</v>
      </c>
      <c r="C34" s="11"/>
      <c r="D34" s="11"/>
      <c r="E34" s="11">
        <v>96220</v>
      </c>
      <c r="F34" s="11"/>
      <c r="G34" s="11">
        <f t="shared" si="0"/>
        <v>96220</v>
      </c>
      <c r="H34" s="17">
        <f t="shared" si="1"/>
        <v>39.99</v>
      </c>
      <c r="I34" s="16">
        <f t="shared" si="2"/>
        <v>0.104</v>
      </c>
      <c r="J34" s="16">
        <f>ROUND(G34/105830-1,2)</f>
        <v>-0.09</v>
      </c>
    </row>
    <row r="35" spans="1:10" x14ac:dyDescent="0.25">
      <c r="A35" s="1" t="s">
        <v>16</v>
      </c>
      <c r="B35" s="1" t="s">
        <v>96</v>
      </c>
      <c r="C35" s="11"/>
      <c r="D35" s="11"/>
      <c r="E35" s="11"/>
      <c r="F35" s="11"/>
      <c r="G35" s="11">
        <f t="shared" si="0"/>
        <v>0</v>
      </c>
      <c r="H35" s="17">
        <f t="shared" si="1"/>
        <v>0</v>
      </c>
      <c r="I35" s="16">
        <f t="shared" si="2"/>
        <v>0</v>
      </c>
      <c r="J35" s="16"/>
    </row>
    <row r="36" spans="1:10" x14ac:dyDescent="0.25">
      <c r="A36" s="1" t="s">
        <v>16</v>
      </c>
      <c r="B36" s="1" t="s">
        <v>36</v>
      </c>
      <c r="C36" s="11"/>
      <c r="D36" s="11"/>
      <c r="E36" s="11"/>
      <c r="F36" s="11"/>
      <c r="G36" s="11">
        <f t="shared" si="0"/>
        <v>0</v>
      </c>
      <c r="H36" s="17">
        <f t="shared" si="1"/>
        <v>0</v>
      </c>
      <c r="I36" s="16">
        <f t="shared" si="2"/>
        <v>0</v>
      </c>
      <c r="J36" s="16">
        <f>ROUND(G36/387-1,2)</f>
        <v>-1</v>
      </c>
    </row>
    <row r="37" spans="1:10" x14ac:dyDescent="0.25">
      <c r="A37" s="1" t="s">
        <v>16</v>
      </c>
      <c r="B37" s="1" t="s">
        <v>199</v>
      </c>
      <c r="C37" s="11"/>
      <c r="D37" s="11"/>
      <c r="E37" s="11"/>
      <c r="F37" s="11"/>
      <c r="G37" s="11">
        <f t="shared" si="0"/>
        <v>0</v>
      </c>
      <c r="H37" s="17">
        <f t="shared" si="1"/>
        <v>0</v>
      </c>
      <c r="I37" s="16">
        <f t="shared" si="2"/>
        <v>0</v>
      </c>
      <c r="J37" s="16"/>
    </row>
    <row r="38" spans="1:10" x14ac:dyDescent="0.25">
      <c r="A38" s="1" t="s">
        <v>16</v>
      </c>
      <c r="B38" s="1" t="s">
        <v>224</v>
      </c>
      <c r="C38" s="11"/>
      <c r="D38" s="11"/>
      <c r="E38" s="11"/>
      <c r="F38" s="11"/>
      <c r="G38" s="11">
        <f t="shared" si="0"/>
        <v>0</v>
      </c>
      <c r="H38" s="17">
        <f t="shared" si="1"/>
        <v>0</v>
      </c>
      <c r="I38" s="16">
        <f t="shared" si="2"/>
        <v>0</v>
      </c>
      <c r="J38" s="16"/>
    </row>
    <row r="39" spans="1:10" x14ac:dyDescent="0.25">
      <c r="A39" s="1" t="s">
        <v>45</v>
      </c>
      <c r="B39" s="1" t="s">
        <v>46</v>
      </c>
      <c r="C39" s="11">
        <v>184300</v>
      </c>
      <c r="D39" s="11"/>
      <c r="E39" s="11"/>
      <c r="F39" s="11"/>
      <c r="G39" s="11">
        <f t="shared" si="0"/>
        <v>184300</v>
      </c>
      <c r="H39" s="17">
        <f t="shared" si="1"/>
        <v>76.599999999999994</v>
      </c>
      <c r="I39" s="16">
        <f t="shared" si="2"/>
        <v>0.2</v>
      </c>
      <c r="J39" s="16">
        <f>ROUND(G39/178350-1,2)</f>
        <v>0.03</v>
      </c>
    </row>
    <row r="40" spans="1:10" x14ac:dyDescent="0.25">
      <c r="A40" s="1" t="s">
        <v>45</v>
      </c>
      <c r="B40" s="1" t="s">
        <v>47</v>
      </c>
      <c r="C40" s="11"/>
      <c r="D40" s="11"/>
      <c r="E40" s="11">
        <v>46115</v>
      </c>
      <c r="F40" s="11"/>
      <c r="G40" s="11">
        <f t="shared" si="0"/>
        <v>46115</v>
      </c>
      <c r="H40" s="17">
        <f t="shared" si="1"/>
        <v>19.170000000000002</v>
      </c>
      <c r="I40" s="16">
        <f t="shared" si="2"/>
        <v>0.05</v>
      </c>
      <c r="J40" s="16">
        <f>ROUND(G40/34770-1,2)</f>
        <v>0.33</v>
      </c>
    </row>
    <row r="41" spans="1:10" x14ac:dyDescent="0.25">
      <c r="A41" s="1" t="s">
        <v>45</v>
      </c>
      <c r="B41" s="1" t="s">
        <v>48</v>
      </c>
      <c r="C41" s="11"/>
      <c r="D41" s="11"/>
      <c r="E41" s="11"/>
      <c r="F41" s="11"/>
      <c r="G41" s="11">
        <f t="shared" si="0"/>
        <v>0</v>
      </c>
      <c r="H41" s="17">
        <f t="shared" si="1"/>
        <v>0</v>
      </c>
      <c r="I41" s="16">
        <f t="shared" si="2"/>
        <v>0</v>
      </c>
      <c r="J41" s="16"/>
    </row>
    <row r="42" spans="1:10" x14ac:dyDescent="0.25">
      <c r="A42" s="1" t="s">
        <v>49</v>
      </c>
      <c r="B42" s="1" t="s">
        <v>52</v>
      </c>
      <c r="C42" s="11"/>
      <c r="D42" s="11"/>
      <c r="E42" s="11"/>
      <c r="F42" s="11"/>
      <c r="G42" s="11">
        <f t="shared" si="0"/>
        <v>0</v>
      </c>
      <c r="H42" s="17">
        <f t="shared" si="1"/>
        <v>0</v>
      </c>
      <c r="I42" s="16">
        <f t="shared" si="2"/>
        <v>0</v>
      </c>
      <c r="J42" s="16"/>
    </row>
    <row r="43" spans="1:10" x14ac:dyDescent="0.25">
      <c r="A43" s="1" t="s">
        <v>49</v>
      </c>
      <c r="B43" s="1" t="s">
        <v>50</v>
      </c>
      <c r="C43" s="11"/>
      <c r="D43" s="11"/>
      <c r="E43" s="11"/>
      <c r="F43" s="11"/>
      <c r="G43" s="11">
        <f t="shared" si="0"/>
        <v>0</v>
      </c>
      <c r="H43" s="17">
        <f t="shared" si="1"/>
        <v>0</v>
      </c>
      <c r="I43" s="16">
        <f t="shared" si="2"/>
        <v>0</v>
      </c>
      <c r="J43" s="16"/>
    </row>
    <row r="44" spans="1:10" x14ac:dyDescent="0.25">
      <c r="A44" s="26" t="s">
        <v>12</v>
      </c>
      <c r="B44" s="26"/>
      <c r="C44" s="12">
        <f t="shared" ref="C44:H44" si="3">SUM(C8:C43)</f>
        <v>616050</v>
      </c>
      <c r="D44" s="12">
        <f t="shared" si="3"/>
        <v>27</v>
      </c>
      <c r="E44" s="12">
        <f t="shared" si="3"/>
        <v>301216</v>
      </c>
      <c r="F44" s="12">
        <f t="shared" si="3"/>
        <v>3750</v>
      </c>
      <c r="G44" s="12">
        <f t="shared" si="3"/>
        <v>921043</v>
      </c>
      <c r="H44" s="15">
        <f t="shared" si="3"/>
        <v>382.82</v>
      </c>
      <c r="I44" s="18"/>
      <c r="J44" s="18"/>
    </row>
    <row r="45" spans="1:10" x14ac:dyDescent="0.25">
      <c r="A45" s="26" t="s">
        <v>14</v>
      </c>
      <c r="B45" s="26"/>
      <c r="C45" s="13">
        <f>ROUND(C44/G44,2)</f>
        <v>0.67</v>
      </c>
      <c r="D45" s="13">
        <f>ROUND(D44/G44,2)</f>
        <v>0</v>
      </c>
      <c r="E45" s="13">
        <f>ROUND(E44/G44,2)</f>
        <v>0.33</v>
      </c>
      <c r="F45" s="13">
        <f>ROUND(F44/G44,2)</f>
        <v>0</v>
      </c>
      <c r="G45" s="14"/>
      <c r="H45" s="14"/>
      <c r="I45" s="18"/>
      <c r="J45" s="18"/>
    </row>
    <row r="46" spans="1:10" x14ac:dyDescent="0.25">
      <c r="A46" s="2" t="s">
        <v>53</v>
      </c>
      <c r="B46" s="2"/>
      <c r="C46" s="14"/>
      <c r="D46" s="14"/>
      <c r="E46" s="14"/>
      <c r="F46" s="14"/>
      <c r="G46" s="14"/>
      <c r="H46" s="14"/>
      <c r="I46" s="18"/>
      <c r="J46" s="18"/>
    </row>
    <row r="47" spans="1:10" x14ac:dyDescent="0.25">
      <c r="C47" s="9"/>
      <c r="D47" s="9"/>
      <c r="E47" s="9"/>
      <c r="F47" s="9"/>
      <c r="G47" s="9"/>
      <c r="H47" s="9"/>
      <c r="I47" s="10"/>
      <c r="J47" s="10"/>
    </row>
    <row r="48" spans="1:10" x14ac:dyDescent="0.25">
      <c r="C48" s="9"/>
      <c r="D48" s="9"/>
      <c r="E48" s="9"/>
      <c r="F48" s="9"/>
      <c r="G48" s="9"/>
      <c r="H48" s="9"/>
      <c r="I48" s="10"/>
      <c r="J48" s="10"/>
    </row>
    <row r="49" spans="1:10" x14ac:dyDescent="0.25">
      <c r="C49" s="9"/>
      <c r="D49" s="9"/>
      <c r="E49" s="9"/>
      <c r="F49" s="9"/>
      <c r="G49" s="9"/>
      <c r="H49" s="9"/>
      <c r="I49" s="10"/>
      <c r="J49" s="10"/>
    </row>
    <row r="50" spans="1:10" x14ac:dyDescent="0.25">
      <c r="A50" s="26" t="s">
        <v>54</v>
      </c>
      <c r="B50" s="26"/>
      <c r="C50" s="12" t="s">
        <v>8</v>
      </c>
      <c r="D50" s="12" t="s">
        <v>9</v>
      </c>
      <c r="E50" s="12" t="s">
        <v>10</v>
      </c>
      <c r="F50" s="12" t="s">
        <v>11</v>
      </c>
      <c r="G50" s="12" t="s">
        <v>12</v>
      </c>
      <c r="H50" s="15" t="s">
        <v>13</v>
      </c>
      <c r="I50" s="18"/>
      <c r="J50" s="18"/>
    </row>
    <row r="51" spans="1:10" x14ac:dyDescent="0.25">
      <c r="A51" s="21" t="s">
        <v>55</v>
      </c>
      <c r="B51" s="21"/>
      <c r="C51" s="11">
        <v>431750</v>
      </c>
      <c r="D51" s="11">
        <v>27</v>
      </c>
      <c r="E51" s="11">
        <v>255101</v>
      </c>
      <c r="F51" s="11">
        <v>3750</v>
      </c>
      <c r="G51" s="11">
        <f>SUM(C51:F51)</f>
        <v>690628</v>
      </c>
      <c r="H51" s="17">
        <f>ROUND(G51/2406,2)</f>
        <v>287.04000000000002</v>
      </c>
      <c r="I51" s="10"/>
      <c r="J51" s="10"/>
    </row>
    <row r="52" spans="1:10" x14ac:dyDescent="0.25">
      <c r="A52" s="21" t="s">
        <v>56</v>
      </c>
      <c r="B52" s="21"/>
      <c r="C52" s="11">
        <v>184300</v>
      </c>
      <c r="D52" s="11">
        <v>0</v>
      </c>
      <c r="E52" s="11">
        <v>46115</v>
      </c>
      <c r="F52" s="11">
        <v>0</v>
      </c>
      <c r="G52" s="11">
        <f>SUM(C52:F52)</f>
        <v>230415</v>
      </c>
      <c r="H52" s="17">
        <f>ROUND(G52/2406,2)</f>
        <v>95.77</v>
      </c>
      <c r="I52" s="10"/>
      <c r="J52" s="10"/>
    </row>
    <row r="53" spans="1:10" x14ac:dyDescent="0.25">
      <c r="A53" s="21" t="s">
        <v>57</v>
      </c>
      <c r="B53" s="21"/>
      <c r="C53" s="11">
        <v>0</v>
      </c>
      <c r="D53" s="11">
        <v>0</v>
      </c>
      <c r="E53" s="11">
        <v>0</v>
      </c>
      <c r="F53" s="11">
        <v>0</v>
      </c>
      <c r="G53" s="11">
        <f>SUM(C53:F53)</f>
        <v>0</v>
      </c>
      <c r="H53" s="17">
        <f>ROUND(G53/2406,2)</f>
        <v>0</v>
      </c>
      <c r="I53" s="10"/>
      <c r="J53" s="10"/>
    </row>
    <row r="54" spans="1:10" x14ac:dyDescent="0.25">
      <c r="C54" s="9"/>
      <c r="D54" s="9"/>
      <c r="E54" s="9"/>
      <c r="F54" s="9"/>
      <c r="G54" s="9"/>
      <c r="H54" s="9"/>
      <c r="I54" s="10"/>
      <c r="J54" s="10"/>
    </row>
    <row r="55" spans="1:10" x14ac:dyDescent="0.25">
      <c r="C55" s="9"/>
      <c r="D55" s="9"/>
      <c r="E55" s="9"/>
      <c r="F55" s="9"/>
      <c r="G55" s="9"/>
      <c r="H55" s="9"/>
      <c r="I55" s="10"/>
      <c r="J55" s="10"/>
    </row>
    <row r="56" spans="1:10" x14ac:dyDescent="0.25">
      <c r="C56" s="9"/>
      <c r="D56" s="9"/>
      <c r="E56" s="9"/>
      <c r="F56" s="9"/>
      <c r="G56" s="9"/>
      <c r="H56" s="9"/>
      <c r="I56" s="10"/>
      <c r="J56" s="10"/>
    </row>
    <row r="57" spans="1:10" x14ac:dyDescent="0.25">
      <c r="C57" s="9"/>
      <c r="D57" s="9"/>
      <c r="E57" s="9"/>
      <c r="F57" s="9"/>
      <c r="G57" s="9"/>
      <c r="H57" s="9"/>
      <c r="I57" s="10"/>
      <c r="J57" s="10"/>
    </row>
    <row r="58" spans="1:10" x14ac:dyDescent="0.25">
      <c r="A58" s="26" t="s">
        <v>58</v>
      </c>
      <c r="B58" s="26"/>
      <c r="C58" s="15" t="s">
        <v>2</v>
      </c>
      <c r="D58" s="15">
        <v>2024</v>
      </c>
      <c r="E58" s="15" t="s">
        <v>60</v>
      </c>
      <c r="F58" s="14"/>
      <c r="G58" s="15" t="s">
        <v>61</v>
      </c>
      <c r="H58" s="15" t="s">
        <v>2</v>
      </c>
      <c r="I58" s="13" t="s">
        <v>62</v>
      </c>
      <c r="J58" s="13" t="s">
        <v>60</v>
      </c>
    </row>
    <row r="59" spans="1:10" x14ac:dyDescent="0.25">
      <c r="A59" s="21" t="s">
        <v>59</v>
      </c>
      <c r="B59" s="21"/>
      <c r="C59" s="16">
        <f>ROUND(0.7892, 4)</f>
        <v>0.78920000000000001</v>
      </c>
      <c r="D59" s="16">
        <f>ROUND(0.7933, 4)</f>
        <v>0.79330000000000001</v>
      </c>
      <c r="E59" s="16">
        <f>ROUND(0.7856, 4)</f>
        <v>0.78559999999999997</v>
      </c>
      <c r="F59" s="9"/>
      <c r="G59" s="15" t="s">
        <v>63</v>
      </c>
      <c r="H59" s="27" t="s">
        <v>64</v>
      </c>
      <c r="I59" s="24" t="s">
        <v>65</v>
      </c>
      <c r="J59" s="24" t="s">
        <v>66</v>
      </c>
    </row>
    <row r="60" spans="1:10" x14ac:dyDescent="0.25">
      <c r="A60" s="21" t="s">
        <v>67</v>
      </c>
      <c r="B60" s="21"/>
      <c r="C60" s="16">
        <f>ROUND(0.7892, 4)</f>
        <v>0.78920000000000001</v>
      </c>
      <c r="D60" s="16">
        <f>ROUND(0.7836, 4)</f>
        <v>0.78359999999999996</v>
      </c>
      <c r="E60" s="16">
        <f>ROUND(0.7702, 4)</f>
        <v>0.7702</v>
      </c>
      <c r="F60" s="9"/>
      <c r="G60" s="15" t="s">
        <v>68</v>
      </c>
      <c r="H60" s="28"/>
      <c r="I60" s="25"/>
      <c r="J60" s="25"/>
    </row>
    <row r="61" spans="1:10" x14ac:dyDescent="0.25">
      <c r="C61" s="9"/>
      <c r="D61" s="9"/>
      <c r="E61" s="9"/>
      <c r="F61" s="9"/>
      <c r="G61" s="9"/>
      <c r="H61" s="9"/>
      <c r="I61" s="10"/>
      <c r="J61" s="10"/>
    </row>
    <row r="62" spans="1:10" x14ac:dyDescent="0.25">
      <c r="C62" s="9"/>
      <c r="D62" s="9"/>
      <c r="E62" s="9"/>
      <c r="F62" s="9"/>
      <c r="G62" s="9"/>
      <c r="H62" s="9"/>
      <c r="I62" s="10"/>
      <c r="J62" s="10"/>
    </row>
    <row r="63" spans="1:10" x14ac:dyDescent="0.25">
      <c r="C63" s="9"/>
      <c r="D63" s="9"/>
      <c r="E63" s="9"/>
      <c r="F63" s="9"/>
      <c r="G63" s="9"/>
      <c r="H63" s="9"/>
      <c r="I63" s="10"/>
      <c r="J63" s="10"/>
    </row>
    <row r="64" spans="1:10" x14ac:dyDescent="0.25">
      <c r="A64" s="26" t="s">
        <v>69</v>
      </c>
      <c r="B64" s="26"/>
      <c r="C64" s="15" t="s">
        <v>2</v>
      </c>
      <c r="D64" s="15" t="s">
        <v>225</v>
      </c>
      <c r="E64" s="15" t="s">
        <v>71</v>
      </c>
      <c r="F64" s="15" t="s">
        <v>72</v>
      </c>
      <c r="G64" s="15" t="s">
        <v>73</v>
      </c>
      <c r="H64" s="14"/>
      <c r="I64" s="18"/>
      <c r="J64" s="18"/>
    </row>
    <row r="65" spans="1:10" x14ac:dyDescent="0.25">
      <c r="A65" s="21" t="s">
        <v>74</v>
      </c>
      <c r="B65" s="21"/>
      <c r="C65" s="17">
        <v>76.599999999999994</v>
      </c>
      <c r="D65" s="17">
        <v>69.64</v>
      </c>
      <c r="E65" s="17">
        <v>96.15</v>
      </c>
      <c r="F65" s="17">
        <v>57.94</v>
      </c>
      <c r="G65" s="17">
        <f>12/12*C65</f>
        <v>76.599999999999994</v>
      </c>
      <c r="H65" s="9"/>
      <c r="I65" s="10"/>
      <c r="J65" s="10"/>
    </row>
    <row r="66" spans="1:10" x14ac:dyDescent="0.25">
      <c r="A66" s="21" t="s">
        <v>75</v>
      </c>
      <c r="B66" s="21"/>
      <c r="C66" s="17">
        <v>67.489999999999995</v>
      </c>
      <c r="D66" s="17">
        <v>63.62</v>
      </c>
      <c r="E66" s="17">
        <v>62.28</v>
      </c>
      <c r="F66" s="17">
        <v>66.599999999999994</v>
      </c>
      <c r="G66" s="17">
        <f>12/12*C66</f>
        <v>67.489999999999995</v>
      </c>
      <c r="H66" s="9"/>
      <c r="I66" s="10"/>
      <c r="J66" s="10"/>
    </row>
    <row r="67" spans="1:10" x14ac:dyDescent="0.25">
      <c r="A67" s="21" t="s">
        <v>76</v>
      </c>
      <c r="B67" s="21"/>
      <c r="C67" s="17">
        <v>287.04000000000002</v>
      </c>
      <c r="D67" s="17">
        <v>269.42</v>
      </c>
      <c r="E67" s="17">
        <v>300.02</v>
      </c>
      <c r="F67" s="17">
        <v>295.08</v>
      </c>
      <c r="G67" s="17">
        <f>12/12*C67</f>
        <v>287.04000000000002</v>
      </c>
      <c r="H67" s="9"/>
      <c r="I67" s="10"/>
      <c r="J67" s="10"/>
    </row>
    <row r="68" spans="1:10" x14ac:dyDescent="0.25">
      <c r="A68" s="21" t="s">
        <v>77</v>
      </c>
      <c r="B68" s="21"/>
      <c r="C68" s="17">
        <v>95.77</v>
      </c>
      <c r="D68" s="17">
        <v>86.38</v>
      </c>
      <c r="E68" s="17">
        <v>120.96</v>
      </c>
      <c r="F68" s="17">
        <v>83.12</v>
      </c>
      <c r="G68" s="17">
        <f>12/12*C68</f>
        <v>95.77</v>
      </c>
      <c r="H68" s="9"/>
      <c r="I68" s="10"/>
      <c r="J68" s="10"/>
    </row>
    <row r="69" spans="1:10" x14ac:dyDescent="0.25">
      <c r="C69" s="9"/>
      <c r="D69" s="9"/>
      <c r="E69" s="9"/>
      <c r="F69" s="9"/>
      <c r="G69" s="9"/>
      <c r="H69" s="9"/>
      <c r="I69" s="10"/>
      <c r="J69" s="10"/>
    </row>
    <row r="70" spans="1:10" x14ac:dyDescent="0.25">
      <c r="C70" s="9"/>
      <c r="D70" s="9"/>
      <c r="E70" s="9"/>
      <c r="F70" s="9"/>
      <c r="G70" s="9"/>
      <c r="H70" s="9"/>
      <c r="I70" s="10"/>
      <c r="J70" s="10"/>
    </row>
    <row r="71" spans="1:10" x14ac:dyDescent="0.25">
      <c r="A71" s="22" t="s">
        <v>61</v>
      </c>
      <c r="B71" s="23"/>
      <c r="C71" s="9"/>
      <c r="D71" s="9"/>
      <c r="E71" s="9"/>
      <c r="F71" s="9"/>
      <c r="G71" s="9"/>
      <c r="H71" s="9"/>
      <c r="I71" s="10"/>
      <c r="J71" s="10"/>
    </row>
    <row r="72" spans="1:10" x14ac:dyDescent="0.25">
      <c r="A72" s="3" t="s">
        <v>78</v>
      </c>
      <c r="B72" s="1" t="s">
        <v>226</v>
      </c>
      <c r="C72" s="9"/>
      <c r="D72" s="9"/>
      <c r="E72" s="9"/>
      <c r="F72" s="9"/>
      <c r="G72" s="9"/>
      <c r="H72" s="9"/>
      <c r="I72" s="10"/>
      <c r="J72" s="10"/>
    </row>
    <row r="73" spans="1:10" x14ac:dyDescent="0.25">
      <c r="A73" s="3" t="s">
        <v>71</v>
      </c>
      <c r="B73" s="1" t="s">
        <v>80</v>
      </c>
    </row>
    <row r="74" spans="1:10" x14ac:dyDescent="0.25">
      <c r="A74" s="3" t="s">
        <v>72</v>
      </c>
      <c r="B74" s="1" t="s">
        <v>81</v>
      </c>
    </row>
    <row r="75" spans="1:10" x14ac:dyDescent="0.25">
      <c r="A75" s="3" t="s">
        <v>73</v>
      </c>
      <c r="B75" s="1" t="s">
        <v>82</v>
      </c>
    </row>
  </sheetData>
  <mergeCells count="19">
    <mergeCell ref="C7:G7"/>
    <mergeCell ref="A44:B44"/>
    <mergeCell ref="A45:B45"/>
    <mergeCell ref="A50:B50"/>
    <mergeCell ref="A51:B51"/>
    <mergeCell ref="J59:J60"/>
    <mergeCell ref="A60:B60"/>
    <mergeCell ref="A64:B64"/>
    <mergeCell ref="A65:B65"/>
    <mergeCell ref="A52:B52"/>
    <mergeCell ref="A53:B53"/>
    <mergeCell ref="A58:B58"/>
    <mergeCell ref="A59:B59"/>
    <mergeCell ref="H59:H60"/>
    <mergeCell ref="A66:B66"/>
    <mergeCell ref="A67:B67"/>
    <mergeCell ref="A68:B68"/>
    <mergeCell ref="A71:B71"/>
    <mergeCell ref="I59:I6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J72"/>
  <sheetViews>
    <sheetView workbookViewId="0">
      <selection activeCell="H5" sqref="H5"/>
    </sheetView>
  </sheetViews>
  <sheetFormatPr defaultRowHeight="15" x14ac:dyDescent="0.25"/>
  <cols>
    <col min="1" max="1" width="28.42578125" bestFit="1" customWidth="1"/>
    <col min="2" max="2" width="59.5703125" bestFit="1" customWidth="1"/>
    <col min="3" max="3" width="12.7109375" bestFit="1" customWidth="1"/>
    <col min="4" max="4" width="19.7109375" bestFit="1" customWidth="1"/>
    <col min="5" max="5" width="13.85546875" bestFit="1" customWidth="1"/>
    <col min="6" max="6" width="8.5703125" bestFit="1" customWidth="1"/>
    <col min="7" max="7" width="47.7109375" bestFit="1" customWidth="1"/>
    <col min="8" max="9" width="16.7109375" bestFit="1" customWidth="1"/>
    <col min="10" max="10" width="24.42578125" bestFit="1" customWidth="1"/>
  </cols>
  <sheetData>
    <row r="2" spans="1:10" ht="18.75" x14ac:dyDescent="0.3">
      <c r="A2" s="3" t="s">
        <v>0</v>
      </c>
      <c r="B2" s="4" t="s">
        <v>227</v>
      </c>
    </row>
    <row r="3" spans="1:10" x14ac:dyDescent="0.25">
      <c r="A3" s="3" t="s">
        <v>2</v>
      </c>
      <c r="B3" s="1" t="s">
        <v>3</v>
      </c>
    </row>
    <row r="4" spans="1:10" x14ac:dyDescent="0.25">
      <c r="A4" s="3" t="s">
        <v>4</v>
      </c>
      <c r="B4" s="20">
        <v>2614</v>
      </c>
    </row>
    <row r="7" spans="1:10" x14ac:dyDescent="0.25">
      <c r="C7" s="22" t="s">
        <v>5</v>
      </c>
      <c r="D7" s="21"/>
      <c r="E7" s="21"/>
      <c r="F7" s="21"/>
      <c r="G7" s="21"/>
    </row>
    <row r="8" spans="1:10" x14ac:dyDescent="0.25">
      <c r="A8" s="3" t="s">
        <v>6</v>
      </c>
      <c r="B8" s="3" t="s">
        <v>7</v>
      </c>
      <c r="C8" s="15" t="s">
        <v>8</v>
      </c>
      <c r="D8" s="15" t="s">
        <v>9</v>
      </c>
      <c r="E8" s="15" t="s">
        <v>10</v>
      </c>
      <c r="F8" s="15" t="s">
        <v>11</v>
      </c>
      <c r="G8" s="15" t="s">
        <v>12</v>
      </c>
      <c r="H8" s="15" t="s">
        <v>13</v>
      </c>
      <c r="I8" s="15" t="s">
        <v>14</v>
      </c>
      <c r="J8" s="15" t="s">
        <v>15</v>
      </c>
    </row>
    <row r="9" spans="1:10" x14ac:dyDescent="0.25">
      <c r="A9" s="1" t="s">
        <v>16</v>
      </c>
      <c r="B9" s="1" t="s">
        <v>19</v>
      </c>
      <c r="C9" s="11">
        <v>94750</v>
      </c>
      <c r="D9" s="11"/>
      <c r="E9" s="11"/>
      <c r="F9" s="11"/>
      <c r="G9" s="11">
        <f t="shared" ref="G9:G40" si="0">SUM(C9:F9)</f>
        <v>94750</v>
      </c>
      <c r="H9" s="17">
        <f t="shared" ref="H9:H40" si="1">ROUND(G9/2614,2)</f>
        <v>36.25</v>
      </c>
      <c r="I9" s="16">
        <f t="shared" ref="I9:I40" si="2">ROUND(G9/$G$41,3)</f>
        <v>9.2999999999999999E-2</v>
      </c>
      <c r="J9" s="16">
        <f>ROUND(G9/91090-1,2)</f>
        <v>0.04</v>
      </c>
    </row>
    <row r="10" spans="1:10" x14ac:dyDescent="0.25">
      <c r="A10" s="1" t="s">
        <v>16</v>
      </c>
      <c r="B10" s="1" t="s">
        <v>20</v>
      </c>
      <c r="C10" s="11">
        <v>132640</v>
      </c>
      <c r="D10" s="11"/>
      <c r="E10" s="11"/>
      <c r="F10" s="11"/>
      <c r="G10" s="11">
        <f t="shared" si="0"/>
        <v>132640</v>
      </c>
      <c r="H10" s="17">
        <f t="shared" si="1"/>
        <v>50.74</v>
      </c>
      <c r="I10" s="16">
        <f t="shared" si="2"/>
        <v>0.13</v>
      </c>
      <c r="J10" s="16">
        <f>ROUND(G10/134310-1,2)</f>
        <v>-0.01</v>
      </c>
    </row>
    <row r="11" spans="1:10" x14ac:dyDescent="0.25">
      <c r="A11" s="1" t="s">
        <v>16</v>
      </c>
      <c r="B11" s="1" t="s">
        <v>87</v>
      </c>
      <c r="C11" s="11"/>
      <c r="D11" s="11"/>
      <c r="E11" s="11">
        <v>20</v>
      </c>
      <c r="F11" s="11"/>
      <c r="G11" s="11">
        <f t="shared" si="0"/>
        <v>20</v>
      </c>
      <c r="H11" s="17">
        <f t="shared" si="1"/>
        <v>0.01</v>
      </c>
      <c r="I11" s="16">
        <f t="shared" si="2"/>
        <v>0</v>
      </c>
      <c r="J11" s="16">
        <f>ROUND(G11/49-1,2)</f>
        <v>-0.59</v>
      </c>
    </row>
    <row r="12" spans="1:10" x14ac:dyDescent="0.25">
      <c r="A12" s="1" t="s">
        <v>16</v>
      </c>
      <c r="B12" s="1" t="s">
        <v>21</v>
      </c>
      <c r="C12" s="11"/>
      <c r="D12" s="11"/>
      <c r="E12" s="11">
        <v>110</v>
      </c>
      <c r="F12" s="11"/>
      <c r="G12" s="11">
        <f t="shared" si="0"/>
        <v>110</v>
      </c>
      <c r="H12" s="17">
        <f t="shared" si="1"/>
        <v>0.04</v>
      </c>
      <c r="I12" s="16">
        <f t="shared" si="2"/>
        <v>0</v>
      </c>
      <c r="J12" s="16">
        <f>ROUND(G12/98-1,2)</f>
        <v>0.12</v>
      </c>
    </row>
    <row r="13" spans="1:10" x14ac:dyDescent="0.25">
      <c r="A13" s="1" t="s">
        <v>16</v>
      </c>
      <c r="B13" s="1" t="s">
        <v>22</v>
      </c>
      <c r="C13" s="11"/>
      <c r="D13" s="11"/>
      <c r="E13" s="11">
        <v>2100</v>
      </c>
      <c r="F13" s="11"/>
      <c r="G13" s="11">
        <f t="shared" si="0"/>
        <v>2100</v>
      </c>
      <c r="H13" s="17">
        <f t="shared" si="1"/>
        <v>0.8</v>
      </c>
      <c r="I13" s="16">
        <f t="shared" si="2"/>
        <v>2E-3</v>
      </c>
      <c r="J13" s="16">
        <f>ROUND(G13/1700-1,2)</f>
        <v>0.24</v>
      </c>
    </row>
    <row r="14" spans="1:10" x14ac:dyDescent="0.25">
      <c r="A14" s="1" t="s">
        <v>16</v>
      </c>
      <c r="B14" s="1" t="s">
        <v>23</v>
      </c>
      <c r="C14" s="11"/>
      <c r="D14" s="11"/>
      <c r="E14" s="11">
        <v>31840</v>
      </c>
      <c r="F14" s="11"/>
      <c r="G14" s="11">
        <f t="shared" si="0"/>
        <v>31840</v>
      </c>
      <c r="H14" s="17">
        <f t="shared" si="1"/>
        <v>12.18</v>
      </c>
      <c r="I14" s="16">
        <f t="shared" si="2"/>
        <v>3.1E-2</v>
      </c>
      <c r="J14" s="16">
        <f>ROUND(G14/24700-1,2)</f>
        <v>0.28999999999999998</v>
      </c>
    </row>
    <row r="15" spans="1:10" x14ac:dyDescent="0.25">
      <c r="A15" s="1" t="s">
        <v>16</v>
      </c>
      <c r="B15" s="1" t="s">
        <v>24</v>
      </c>
      <c r="C15" s="11">
        <v>119730</v>
      </c>
      <c r="D15" s="11"/>
      <c r="E15" s="11">
        <v>10840</v>
      </c>
      <c r="F15" s="11"/>
      <c r="G15" s="11">
        <f t="shared" si="0"/>
        <v>130570</v>
      </c>
      <c r="H15" s="17">
        <f t="shared" si="1"/>
        <v>49.95</v>
      </c>
      <c r="I15" s="16">
        <f t="shared" si="2"/>
        <v>0.128</v>
      </c>
      <c r="J15" s="16">
        <f>ROUND(G15/133695-1,2)</f>
        <v>-0.02</v>
      </c>
    </row>
    <row r="16" spans="1:10" x14ac:dyDescent="0.25">
      <c r="A16" s="1" t="s">
        <v>16</v>
      </c>
      <c r="B16" s="1" t="s">
        <v>25</v>
      </c>
      <c r="C16" s="11"/>
      <c r="D16" s="11"/>
      <c r="E16" s="11">
        <v>4355</v>
      </c>
      <c r="F16" s="11"/>
      <c r="G16" s="11">
        <f t="shared" si="0"/>
        <v>4355</v>
      </c>
      <c r="H16" s="17">
        <f t="shared" si="1"/>
        <v>1.67</v>
      </c>
      <c r="I16" s="16">
        <f t="shared" si="2"/>
        <v>4.0000000000000001E-3</v>
      </c>
      <c r="J16" s="16">
        <f>ROUND(G16/4535-1,2)</f>
        <v>-0.04</v>
      </c>
    </row>
    <row r="17" spans="1:10" x14ac:dyDescent="0.25">
      <c r="A17" s="1" t="s">
        <v>16</v>
      </c>
      <c r="B17" s="1" t="s">
        <v>26</v>
      </c>
      <c r="C17" s="11">
        <v>233520</v>
      </c>
      <c r="D17" s="11"/>
      <c r="E17" s="11"/>
      <c r="F17" s="11">
        <v>1800</v>
      </c>
      <c r="G17" s="11">
        <f t="shared" si="0"/>
        <v>235320</v>
      </c>
      <c r="H17" s="17">
        <f t="shared" si="1"/>
        <v>90.02</v>
      </c>
      <c r="I17" s="16">
        <f t="shared" si="2"/>
        <v>0.23</v>
      </c>
      <c r="J17" s="16">
        <f>ROUND(G17/217190-1,2)</f>
        <v>0.08</v>
      </c>
    </row>
    <row r="18" spans="1:10" x14ac:dyDescent="0.25">
      <c r="A18" s="1" t="s">
        <v>16</v>
      </c>
      <c r="B18" s="1" t="s">
        <v>27</v>
      </c>
      <c r="C18" s="11"/>
      <c r="D18" s="11"/>
      <c r="E18" s="11">
        <v>430</v>
      </c>
      <c r="F18" s="11"/>
      <c r="G18" s="11">
        <f t="shared" si="0"/>
        <v>430</v>
      </c>
      <c r="H18" s="17">
        <f t="shared" si="1"/>
        <v>0.16</v>
      </c>
      <c r="I18" s="16">
        <f t="shared" si="2"/>
        <v>0</v>
      </c>
      <c r="J18" s="16">
        <f>ROUND(G18/869-1,2)</f>
        <v>-0.51</v>
      </c>
    </row>
    <row r="19" spans="1:10" x14ac:dyDescent="0.25">
      <c r="A19" s="1" t="s">
        <v>16</v>
      </c>
      <c r="B19" s="1" t="s">
        <v>28</v>
      </c>
      <c r="C19" s="11"/>
      <c r="D19" s="11"/>
      <c r="E19" s="11">
        <v>517</v>
      </c>
      <c r="F19" s="11"/>
      <c r="G19" s="11">
        <f t="shared" si="0"/>
        <v>517</v>
      </c>
      <c r="H19" s="17">
        <f t="shared" si="1"/>
        <v>0.2</v>
      </c>
      <c r="I19" s="16">
        <f t="shared" si="2"/>
        <v>1E-3</v>
      </c>
      <c r="J19" s="16">
        <f>ROUND(G19/682-1,2)</f>
        <v>-0.24</v>
      </c>
    </row>
    <row r="20" spans="1:10" x14ac:dyDescent="0.25">
      <c r="A20" s="1" t="s">
        <v>16</v>
      </c>
      <c r="B20" s="1" t="s">
        <v>29</v>
      </c>
      <c r="C20" s="11"/>
      <c r="D20" s="11"/>
      <c r="E20" s="11">
        <v>170</v>
      </c>
      <c r="F20" s="11"/>
      <c r="G20" s="11">
        <f t="shared" si="0"/>
        <v>170</v>
      </c>
      <c r="H20" s="17">
        <f t="shared" si="1"/>
        <v>7.0000000000000007E-2</v>
      </c>
      <c r="I20" s="16">
        <f t="shared" si="2"/>
        <v>0</v>
      </c>
      <c r="J20" s="16"/>
    </row>
    <row r="21" spans="1:10" x14ac:dyDescent="0.25">
      <c r="A21" s="1" t="s">
        <v>16</v>
      </c>
      <c r="B21" s="1" t="s">
        <v>30</v>
      </c>
      <c r="C21" s="11"/>
      <c r="D21" s="11"/>
      <c r="E21" s="11">
        <v>5140</v>
      </c>
      <c r="F21" s="11"/>
      <c r="G21" s="11">
        <f t="shared" si="0"/>
        <v>5140</v>
      </c>
      <c r="H21" s="17">
        <f t="shared" si="1"/>
        <v>1.97</v>
      </c>
      <c r="I21" s="16">
        <f t="shared" si="2"/>
        <v>5.0000000000000001E-3</v>
      </c>
      <c r="J21" s="16">
        <f>ROUND(G21/6500-1,2)</f>
        <v>-0.21</v>
      </c>
    </row>
    <row r="22" spans="1:10" x14ac:dyDescent="0.25">
      <c r="A22" s="1" t="s">
        <v>16</v>
      </c>
      <c r="B22" s="1" t="s">
        <v>31</v>
      </c>
      <c r="C22" s="11"/>
      <c r="D22" s="11"/>
      <c r="E22" s="11">
        <v>720</v>
      </c>
      <c r="F22" s="11"/>
      <c r="G22" s="11">
        <f t="shared" si="0"/>
        <v>720</v>
      </c>
      <c r="H22" s="17">
        <f t="shared" si="1"/>
        <v>0.28000000000000003</v>
      </c>
      <c r="I22" s="16">
        <f t="shared" si="2"/>
        <v>1E-3</v>
      </c>
      <c r="J22" s="16">
        <f>ROUND(G22/650-1,2)</f>
        <v>0.11</v>
      </c>
    </row>
    <row r="23" spans="1:10" x14ac:dyDescent="0.25">
      <c r="A23" s="1" t="s">
        <v>16</v>
      </c>
      <c r="B23" s="1" t="s">
        <v>33</v>
      </c>
      <c r="C23" s="11"/>
      <c r="D23" s="11"/>
      <c r="E23" s="11">
        <v>1705</v>
      </c>
      <c r="F23" s="11"/>
      <c r="G23" s="11">
        <f t="shared" si="0"/>
        <v>1705</v>
      </c>
      <c r="H23" s="17">
        <f t="shared" si="1"/>
        <v>0.65</v>
      </c>
      <c r="I23" s="16">
        <f t="shared" si="2"/>
        <v>2E-3</v>
      </c>
      <c r="J23" s="16">
        <f>ROUND(G23/1309-1,2)</f>
        <v>0.3</v>
      </c>
    </row>
    <row r="24" spans="1:10" x14ac:dyDescent="0.25">
      <c r="A24" s="1" t="s">
        <v>16</v>
      </c>
      <c r="B24" s="1" t="s">
        <v>34</v>
      </c>
      <c r="C24" s="11"/>
      <c r="D24" s="11">
        <v>143</v>
      </c>
      <c r="E24" s="11">
        <v>299</v>
      </c>
      <c r="F24" s="11"/>
      <c r="G24" s="11">
        <f t="shared" si="0"/>
        <v>442</v>
      </c>
      <c r="H24" s="17">
        <f t="shared" si="1"/>
        <v>0.17</v>
      </c>
      <c r="I24" s="16">
        <f t="shared" si="2"/>
        <v>0</v>
      </c>
      <c r="J24" s="16">
        <f>ROUND(G24/470-1,2)</f>
        <v>-0.06</v>
      </c>
    </row>
    <row r="25" spans="1:10" x14ac:dyDescent="0.25">
      <c r="A25" s="1" t="s">
        <v>16</v>
      </c>
      <c r="B25" s="1" t="s">
        <v>35</v>
      </c>
      <c r="C25" s="11"/>
      <c r="D25" s="11"/>
      <c r="E25" s="11">
        <v>2123</v>
      </c>
      <c r="F25" s="11"/>
      <c r="G25" s="11">
        <f t="shared" si="0"/>
        <v>2123</v>
      </c>
      <c r="H25" s="17">
        <f t="shared" si="1"/>
        <v>0.81</v>
      </c>
      <c r="I25" s="16">
        <f t="shared" si="2"/>
        <v>2E-3</v>
      </c>
      <c r="J25" s="16">
        <f>ROUND(G25/1120-1,2)</f>
        <v>0.9</v>
      </c>
    </row>
    <row r="26" spans="1:10" x14ac:dyDescent="0.25">
      <c r="A26" s="1" t="s">
        <v>16</v>
      </c>
      <c r="B26" s="1" t="s">
        <v>36</v>
      </c>
      <c r="C26" s="11"/>
      <c r="D26" s="11"/>
      <c r="E26" s="11">
        <v>700</v>
      </c>
      <c r="F26" s="11"/>
      <c r="G26" s="11">
        <f t="shared" si="0"/>
        <v>700</v>
      </c>
      <c r="H26" s="17">
        <f t="shared" si="1"/>
        <v>0.27</v>
      </c>
      <c r="I26" s="16">
        <f t="shared" si="2"/>
        <v>1E-3</v>
      </c>
      <c r="J26" s="16">
        <f>ROUND(G26/265-1,2)</f>
        <v>1.64</v>
      </c>
    </row>
    <row r="27" spans="1:10" x14ac:dyDescent="0.25">
      <c r="A27" s="1" t="s">
        <v>16</v>
      </c>
      <c r="B27" s="1" t="s">
        <v>37</v>
      </c>
      <c r="C27" s="11"/>
      <c r="D27" s="11"/>
      <c r="E27" s="11">
        <v>2060</v>
      </c>
      <c r="F27" s="11"/>
      <c r="G27" s="11">
        <f t="shared" si="0"/>
        <v>2060</v>
      </c>
      <c r="H27" s="17">
        <f t="shared" si="1"/>
        <v>0.79</v>
      </c>
      <c r="I27" s="16">
        <f t="shared" si="2"/>
        <v>2E-3</v>
      </c>
      <c r="J27" s="16">
        <f>ROUND(G27/3080-1,2)</f>
        <v>-0.33</v>
      </c>
    </row>
    <row r="28" spans="1:10" x14ac:dyDescent="0.25">
      <c r="A28" s="1" t="s">
        <v>16</v>
      </c>
      <c r="B28" s="1" t="s">
        <v>39</v>
      </c>
      <c r="C28" s="11"/>
      <c r="D28" s="11"/>
      <c r="E28" s="11">
        <v>11870</v>
      </c>
      <c r="F28" s="11"/>
      <c r="G28" s="11">
        <f t="shared" si="0"/>
        <v>11870</v>
      </c>
      <c r="H28" s="17">
        <f t="shared" si="1"/>
        <v>4.54</v>
      </c>
      <c r="I28" s="16">
        <f t="shared" si="2"/>
        <v>1.2E-2</v>
      </c>
      <c r="J28" s="16">
        <f>ROUND(G28/5640-1,2)</f>
        <v>1.1000000000000001</v>
      </c>
    </row>
    <row r="29" spans="1:10" x14ac:dyDescent="0.25">
      <c r="A29" s="1" t="s">
        <v>16</v>
      </c>
      <c r="B29" s="1" t="s">
        <v>38</v>
      </c>
      <c r="C29" s="11"/>
      <c r="D29" s="11"/>
      <c r="E29" s="11">
        <v>5370</v>
      </c>
      <c r="F29" s="11"/>
      <c r="G29" s="11">
        <f t="shared" si="0"/>
        <v>5370</v>
      </c>
      <c r="H29" s="17">
        <f t="shared" si="1"/>
        <v>2.0499999999999998</v>
      </c>
      <c r="I29" s="16">
        <f t="shared" si="2"/>
        <v>5.0000000000000001E-3</v>
      </c>
      <c r="J29" s="16">
        <f>ROUND(G29/11080-1,2)</f>
        <v>-0.52</v>
      </c>
    </row>
    <row r="30" spans="1:10" x14ac:dyDescent="0.25">
      <c r="A30" s="1" t="s">
        <v>16</v>
      </c>
      <c r="B30" s="1" t="s">
        <v>40</v>
      </c>
      <c r="C30" s="11"/>
      <c r="D30" s="11"/>
      <c r="E30" s="11">
        <v>79625</v>
      </c>
      <c r="F30" s="11"/>
      <c r="G30" s="11">
        <f t="shared" si="0"/>
        <v>79625</v>
      </c>
      <c r="H30" s="17">
        <f t="shared" si="1"/>
        <v>30.46</v>
      </c>
      <c r="I30" s="16">
        <f t="shared" si="2"/>
        <v>7.8E-2</v>
      </c>
      <c r="J30" s="16">
        <f>ROUND(G30/71050-1,2)</f>
        <v>0.12</v>
      </c>
    </row>
    <row r="31" spans="1:10" x14ac:dyDescent="0.25">
      <c r="A31" s="1" t="s">
        <v>16</v>
      </c>
      <c r="B31" s="1" t="s">
        <v>41</v>
      </c>
      <c r="C31" s="11"/>
      <c r="D31" s="11"/>
      <c r="E31" s="11">
        <v>5440</v>
      </c>
      <c r="F31" s="11"/>
      <c r="G31" s="11">
        <f t="shared" si="0"/>
        <v>5440</v>
      </c>
      <c r="H31" s="17">
        <f t="shared" si="1"/>
        <v>2.08</v>
      </c>
      <c r="I31" s="16">
        <f t="shared" si="2"/>
        <v>5.0000000000000001E-3</v>
      </c>
      <c r="J31" s="16">
        <f>ROUND(G31/5420-1,2)</f>
        <v>0</v>
      </c>
    </row>
    <row r="32" spans="1:10" x14ac:dyDescent="0.25">
      <c r="A32" s="1" t="s">
        <v>16</v>
      </c>
      <c r="B32" s="1" t="s">
        <v>42</v>
      </c>
      <c r="C32" s="11"/>
      <c r="D32" s="11"/>
      <c r="E32" s="11">
        <v>20540</v>
      </c>
      <c r="F32" s="11"/>
      <c r="G32" s="11">
        <f t="shared" si="0"/>
        <v>20540</v>
      </c>
      <c r="H32" s="17">
        <f t="shared" si="1"/>
        <v>7.86</v>
      </c>
      <c r="I32" s="16">
        <f t="shared" si="2"/>
        <v>0.02</v>
      </c>
      <c r="J32" s="16">
        <f>ROUND(G32/20820-1,2)</f>
        <v>-0.01</v>
      </c>
    </row>
    <row r="33" spans="1:10" x14ac:dyDescent="0.25">
      <c r="A33" s="1" t="s">
        <v>16</v>
      </c>
      <c r="B33" s="1" t="s">
        <v>44</v>
      </c>
      <c r="C33" s="11"/>
      <c r="D33" s="11"/>
      <c r="E33" s="11">
        <v>33180</v>
      </c>
      <c r="F33" s="11">
        <v>1300</v>
      </c>
      <c r="G33" s="11">
        <f t="shared" si="0"/>
        <v>34480</v>
      </c>
      <c r="H33" s="17">
        <f t="shared" si="1"/>
        <v>13.19</v>
      </c>
      <c r="I33" s="16">
        <f t="shared" si="2"/>
        <v>3.4000000000000002E-2</v>
      </c>
      <c r="J33" s="16">
        <f>ROUND(G33/47320-1,2)</f>
        <v>-0.27</v>
      </c>
    </row>
    <row r="34" spans="1:10" x14ac:dyDescent="0.25">
      <c r="A34" s="1" t="s">
        <v>16</v>
      </c>
      <c r="B34" s="1" t="s">
        <v>32</v>
      </c>
      <c r="C34" s="11"/>
      <c r="D34" s="11"/>
      <c r="E34" s="11"/>
      <c r="F34" s="11"/>
      <c r="G34" s="11">
        <f t="shared" si="0"/>
        <v>0</v>
      </c>
      <c r="H34" s="17">
        <f t="shared" si="1"/>
        <v>0</v>
      </c>
      <c r="I34" s="16">
        <f t="shared" si="2"/>
        <v>0</v>
      </c>
      <c r="J34" s="16"/>
    </row>
    <row r="35" spans="1:10" x14ac:dyDescent="0.25">
      <c r="A35" s="1" t="s">
        <v>16</v>
      </c>
      <c r="B35" s="1" t="s">
        <v>17</v>
      </c>
      <c r="C35" s="11"/>
      <c r="D35" s="11"/>
      <c r="E35" s="11"/>
      <c r="F35" s="11"/>
      <c r="G35" s="11">
        <f t="shared" si="0"/>
        <v>0</v>
      </c>
      <c r="H35" s="17">
        <f t="shared" si="1"/>
        <v>0</v>
      </c>
      <c r="I35" s="16">
        <f t="shared" si="2"/>
        <v>0</v>
      </c>
      <c r="J35" s="16">
        <f>ROUND(G35/51-1,2)</f>
        <v>-1</v>
      </c>
    </row>
    <row r="36" spans="1:10" x14ac:dyDescent="0.25">
      <c r="A36" s="1" t="s">
        <v>16</v>
      </c>
      <c r="B36" s="1" t="s">
        <v>96</v>
      </c>
      <c r="C36" s="11"/>
      <c r="D36" s="11"/>
      <c r="E36" s="11"/>
      <c r="F36" s="11"/>
      <c r="G36" s="11">
        <f t="shared" si="0"/>
        <v>0</v>
      </c>
      <c r="H36" s="17">
        <f t="shared" si="1"/>
        <v>0</v>
      </c>
      <c r="I36" s="16">
        <f t="shared" si="2"/>
        <v>0</v>
      </c>
      <c r="J36" s="16">
        <f>ROUND(G36/100-1,2)</f>
        <v>-1</v>
      </c>
    </row>
    <row r="37" spans="1:10" x14ac:dyDescent="0.25">
      <c r="A37" s="1" t="s">
        <v>45</v>
      </c>
      <c r="B37" s="1" t="s">
        <v>46</v>
      </c>
      <c r="C37" s="11">
        <v>156525</v>
      </c>
      <c r="D37" s="11"/>
      <c r="E37" s="11"/>
      <c r="F37" s="11"/>
      <c r="G37" s="11">
        <f t="shared" si="0"/>
        <v>156525</v>
      </c>
      <c r="H37" s="17">
        <f t="shared" si="1"/>
        <v>59.88</v>
      </c>
      <c r="I37" s="16">
        <f t="shared" si="2"/>
        <v>0.153</v>
      </c>
      <c r="J37" s="16">
        <f>ROUND(G37/166720-1,2)</f>
        <v>-0.06</v>
      </c>
    </row>
    <row r="38" spans="1:10" x14ac:dyDescent="0.25">
      <c r="A38" s="1" t="s">
        <v>45</v>
      </c>
      <c r="B38" s="1" t="s">
        <v>48</v>
      </c>
      <c r="C38" s="11"/>
      <c r="D38" s="11"/>
      <c r="E38" s="11"/>
      <c r="F38" s="11">
        <v>17300</v>
      </c>
      <c r="G38" s="11">
        <f t="shared" si="0"/>
        <v>17300</v>
      </c>
      <c r="H38" s="17">
        <f t="shared" si="1"/>
        <v>6.62</v>
      </c>
      <c r="I38" s="16">
        <f t="shared" si="2"/>
        <v>1.7000000000000001E-2</v>
      </c>
      <c r="J38" s="16"/>
    </row>
    <row r="39" spans="1:10" x14ac:dyDescent="0.25">
      <c r="A39" s="1" t="s">
        <v>45</v>
      </c>
      <c r="B39" s="1" t="s">
        <v>47</v>
      </c>
      <c r="C39" s="11"/>
      <c r="D39" s="11"/>
      <c r="E39" s="11">
        <v>47160</v>
      </c>
      <c r="F39" s="11"/>
      <c r="G39" s="11">
        <f t="shared" si="0"/>
        <v>47160</v>
      </c>
      <c r="H39" s="17">
        <f t="shared" si="1"/>
        <v>18.04</v>
      </c>
      <c r="I39" s="16">
        <f t="shared" si="2"/>
        <v>4.5999999999999999E-2</v>
      </c>
      <c r="J39" s="16">
        <f>ROUND(G39/47450-1,2)</f>
        <v>-0.01</v>
      </c>
    </row>
    <row r="40" spans="1:10" x14ac:dyDescent="0.25">
      <c r="A40" s="1" t="s">
        <v>49</v>
      </c>
      <c r="B40" s="1" t="s">
        <v>52</v>
      </c>
      <c r="C40" s="11"/>
      <c r="D40" s="11"/>
      <c r="E40" s="11"/>
      <c r="F40" s="11"/>
      <c r="G40" s="11">
        <f t="shared" si="0"/>
        <v>0</v>
      </c>
      <c r="H40" s="17">
        <f t="shared" si="1"/>
        <v>0</v>
      </c>
      <c r="I40" s="16">
        <f t="shared" si="2"/>
        <v>0</v>
      </c>
      <c r="J40" s="16">
        <f>ROUND(G40/5-1,2)</f>
        <v>-1</v>
      </c>
    </row>
    <row r="41" spans="1:10" x14ac:dyDescent="0.25">
      <c r="A41" s="26" t="s">
        <v>12</v>
      </c>
      <c r="B41" s="26"/>
      <c r="C41" s="12">
        <f t="shared" ref="C41:H41" si="3">SUM(C8:C40)</f>
        <v>737165</v>
      </c>
      <c r="D41" s="12">
        <f t="shared" si="3"/>
        <v>143</v>
      </c>
      <c r="E41" s="12">
        <f t="shared" si="3"/>
        <v>266314</v>
      </c>
      <c r="F41" s="12">
        <f t="shared" si="3"/>
        <v>20400</v>
      </c>
      <c r="G41" s="12">
        <f t="shared" si="3"/>
        <v>1024022</v>
      </c>
      <c r="H41" s="15">
        <f t="shared" si="3"/>
        <v>391.75</v>
      </c>
      <c r="I41" s="18"/>
      <c r="J41" s="18"/>
    </row>
    <row r="42" spans="1:10" x14ac:dyDescent="0.25">
      <c r="A42" s="26" t="s">
        <v>14</v>
      </c>
      <c r="B42" s="26"/>
      <c r="C42" s="13">
        <f>ROUND(C41/G41,2)</f>
        <v>0.72</v>
      </c>
      <c r="D42" s="13">
        <f>ROUND(D41/G41,2)</f>
        <v>0</v>
      </c>
      <c r="E42" s="13">
        <f>ROUND(E41/G41,2)</f>
        <v>0.26</v>
      </c>
      <c r="F42" s="13">
        <f>ROUND(F41/G41,2)</f>
        <v>0.02</v>
      </c>
      <c r="G42" s="14"/>
      <c r="H42" s="14"/>
      <c r="I42" s="18"/>
      <c r="J42" s="18"/>
    </row>
    <row r="43" spans="1:10" x14ac:dyDescent="0.25">
      <c r="A43" s="2" t="s">
        <v>53</v>
      </c>
      <c r="B43" s="2"/>
      <c r="C43" s="14"/>
      <c r="D43" s="14"/>
      <c r="E43" s="14"/>
      <c r="F43" s="14"/>
      <c r="G43" s="14"/>
      <c r="H43" s="14"/>
      <c r="I43" s="18"/>
      <c r="J43" s="18"/>
    </row>
    <row r="44" spans="1:10" x14ac:dyDescent="0.25">
      <c r="C44" s="9"/>
      <c r="D44" s="9"/>
      <c r="E44" s="9"/>
      <c r="F44" s="9"/>
      <c r="G44" s="9"/>
      <c r="H44" s="9"/>
      <c r="I44" s="10"/>
      <c r="J44" s="10"/>
    </row>
    <row r="45" spans="1:10" x14ac:dyDescent="0.25">
      <c r="C45" s="9"/>
      <c r="D45" s="9"/>
      <c r="E45" s="9"/>
      <c r="F45" s="9"/>
      <c r="G45" s="9"/>
      <c r="H45" s="9"/>
      <c r="I45" s="10"/>
      <c r="J45" s="10"/>
    </row>
    <row r="46" spans="1:10" x14ac:dyDescent="0.25">
      <c r="C46" s="9"/>
      <c r="D46" s="9"/>
      <c r="E46" s="9"/>
      <c r="F46" s="9"/>
      <c r="G46" s="9"/>
      <c r="H46" s="9"/>
      <c r="I46" s="10"/>
      <c r="J46" s="10"/>
    </row>
    <row r="47" spans="1:10" x14ac:dyDescent="0.25">
      <c r="A47" s="26" t="s">
        <v>54</v>
      </c>
      <c r="B47" s="26"/>
      <c r="C47" s="12" t="s">
        <v>8</v>
      </c>
      <c r="D47" s="12" t="s">
        <v>9</v>
      </c>
      <c r="E47" s="12" t="s">
        <v>10</v>
      </c>
      <c r="F47" s="12" t="s">
        <v>11</v>
      </c>
      <c r="G47" s="12" t="s">
        <v>12</v>
      </c>
      <c r="H47" s="15" t="s">
        <v>13</v>
      </c>
      <c r="I47" s="18"/>
      <c r="J47" s="18"/>
    </row>
    <row r="48" spans="1:10" x14ac:dyDescent="0.25">
      <c r="A48" s="21" t="s">
        <v>55</v>
      </c>
      <c r="B48" s="21"/>
      <c r="C48" s="11">
        <v>580640</v>
      </c>
      <c r="D48" s="11">
        <v>143</v>
      </c>
      <c r="E48" s="11">
        <v>219154</v>
      </c>
      <c r="F48" s="11">
        <v>3100</v>
      </c>
      <c r="G48" s="11">
        <f>SUM(C48:F48)</f>
        <v>803037</v>
      </c>
      <c r="H48" s="17">
        <f>ROUND(G48/2614,2)</f>
        <v>307.20999999999998</v>
      </c>
      <c r="I48" s="10"/>
      <c r="J48" s="10"/>
    </row>
    <row r="49" spans="1:10" x14ac:dyDescent="0.25">
      <c r="A49" s="21" t="s">
        <v>56</v>
      </c>
      <c r="B49" s="21"/>
      <c r="C49" s="11">
        <v>156525</v>
      </c>
      <c r="D49" s="11">
        <v>0</v>
      </c>
      <c r="E49" s="11">
        <v>47160</v>
      </c>
      <c r="F49" s="11">
        <v>17300</v>
      </c>
      <c r="G49" s="11">
        <f>SUM(C49:F49)</f>
        <v>220985</v>
      </c>
      <c r="H49" s="17">
        <f>ROUND(G49/2614,2)</f>
        <v>84.54</v>
      </c>
      <c r="I49" s="10"/>
      <c r="J49" s="10"/>
    </row>
    <row r="50" spans="1:10" x14ac:dyDescent="0.25">
      <c r="A50" s="21" t="s">
        <v>57</v>
      </c>
      <c r="B50" s="21"/>
      <c r="C50" s="11">
        <v>0</v>
      </c>
      <c r="D50" s="11">
        <v>0</v>
      </c>
      <c r="E50" s="11">
        <v>0</v>
      </c>
      <c r="F50" s="11">
        <v>0</v>
      </c>
      <c r="G50" s="11">
        <f>SUM(C50:F50)</f>
        <v>0</v>
      </c>
      <c r="H50" s="17">
        <f>ROUND(G50/2614,2)</f>
        <v>0</v>
      </c>
      <c r="I50" s="10"/>
      <c r="J50" s="10"/>
    </row>
    <row r="51" spans="1:10" x14ac:dyDescent="0.25">
      <c r="C51" s="9"/>
      <c r="D51" s="9"/>
      <c r="E51" s="9"/>
      <c r="F51" s="9"/>
      <c r="G51" s="9"/>
      <c r="H51" s="9"/>
      <c r="I51" s="10"/>
      <c r="J51" s="10"/>
    </row>
    <row r="52" spans="1:10" x14ac:dyDescent="0.25">
      <c r="C52" s="9"/>
      <c r="D52" s="9"/>
      <c r="E52" s="9"/>
      <c r="F52" s="9"/>
      <c r="G52" s="9"/>
      <c r="H52" s="9"/>
      <c r="I52" s="10"/>
      <c r="J52" s="10"/>
    </row>
    <row r="53" spans="1:10" x14ac:dyDescent="0.25">
      <c r="C53" s="9"/>
      <c r="D53" s="9"/>
      <c r="E53" s="9"/>
      <c r="F53" s="9"/>
      <c r="G53" s="9"/>
      <c r="H53" s="9"/>
      <c r="I53" s="10"/>
      <c r="J53" s="10"/>
    </row>
    <row r="54" spans="1:10" x14ac:dyDescent="0.25">
      <c r="C54" s="9"/>
      <c r="D54" s="9"/>
      <c r="E54" s="9"/>
      <c r="F54" s="9"/>
      <c r="G54" s="9"/>
      <c r="H54" s="9"/>
      <c r="I54" s="10"/>
      <c r="J54" s="10"/>
    </row>
    <row r="55" spans="1:10" x14ac:dyDescent="0.25">
      <c r="A55" s="26" t="s">
        <v>58</v>
      </c>
      <c r="B55" s="26"/>
      <c r="C55" s="15" t="s">
        <v>2</v>
      </c>
      <c r="D55" s="15">
        <v>2024</v>
      </c>
      <c r="E55" s="15" t="s">
        <v>60</v>
      </c>
      <c r="F55" s="14"/>
      <c r="G55" s="15" t="s">
        <v>61</v>
      </c>
      <c r="H55" s="15" t="s">
        <v>2</v>
      </c>
      <c r="I55" s="13" t="s">
        <v>62</v>
      </c>
      <c r="J55" s="13" t="s">
        <v>60</v>
      </c>
    </row>
    <row r="56" spans="1:10" x14ac:dyDescent="0.25">
      <c r="A56" s="21" t="s">
        <v>59</v>
      </c>
      <c r="B56" s="21"/>
      <c r="C56" s="16">
        <f>ROUND(0.8419, 4)</f>
        <v>0.84189999999999998</v>
      </c>
      <c r="D56" s="16">
        <f>ROUND(0.8233, 4)</f>
        <v>0.82330000000000003</v>
      </c>
      <c r="E56" s="16">
        <f>ROUND(0.7856, 4)</f>
        <v>0.78559999999999997</v>
      </c>
      <c r="F56" s="9"/>
      <c r="G56" s="15" t="s">
        <v>63</v>
      </c>
      <c r="H56" s="27" t="s">
        <v>64</v>
      </c>
      <c r="I56" s="24" t="s">
        <v>65</v>
      </c>
      <c r="J56" s="24" t="s">
        <v>66</v>
      </c>
    </row>
    <row r="57" spans="1:10" x14ac:dyDescent="0.25">
      <c r="A57" s="21" t="s">
        <v>67</v>
      </c>
      <c r="B57" s="21"/>
      <c r="C57" s="16">
        <f>ROUND(0.8419, 4)</f>
        <v>0.84189999999999998</v>
      </c>
      <c r="D57" s="16">
        <f>ROUND(0.8113, 4)</f>
        <v>0.81130000000000002</v>
      </c>
      <c r="E57" s="16">
        <f>ROUND(0.7702, 4)</f>
        <v>0.7702</v>
      </c>
      <c r="F57" s="9"/>
      <c r="G57" s="15" t="s">
        <v>68</v>
      </c>
      <c r="H57" s="28"/>
      <c r="I57" s="25"/>
      <c r="J57" s="25"/>
    </row>
    <row r="58" spans="1:10" x14ac:dyDescent="0.25">
      <c r="C58" s="9"/>
      <c r="D58" s="9"/>
      <c r="E58" s="9"/>
      <c r="F58" s="9"/>
      <c r="G58" s="9"/>
      <c r="H58" s="9"/>
      <c r="I58" s="10"/>
      <c r="J58" s="10"/>
    </row>
    <row r="59" spans="1:10" x14ac:dyDescent="0.25">
      <c r="C59" s="9"/>
      <c r="D59" s="9"/>
      <c r="E59" s="9"/>
      <c r="F59" s="9"/>
      <c r="G59" s="9"/>
      <c r="H59" s="9"/>
      <c r="I59" s="10"/>
      <c r="J59" s="10"/>
    </row>
    <row r="60" spans="1:10" x14ac:dyDescent="0.25">
      <c r="C60" s="9"/>
      <c r="D60" s="9"/>
      <c r="E60" s="9"/>
      <c r="F60" s="9"/>
      <c r="G60" s="9"/>
      <c r="H60" s="9"/>
      <c r="I60" s="10"/>
      <c r="J60" s="10"/>
    </row>
    <row r="61" spans="1:10" x14ac:dyDescent="0.25">
      <c r="A61" s="26" t="s">
        <v>69</v>
      </c>
      <c r="B61" s="26"/>
      <c r="C61" s="15" t="s">
        <v>2</v>
      </c>
      <c r="D61" s="15" t="s">
        <v>228</v>
      </c>
      <c r="E61" s="15" t="s">
        <v>71</v>
      </c>
      <c r="F61" s="15" t="s">
        <v>72</v>
      </c>
      <c r="G61" s="15" t="s">
        <v>73</v>
      </c>
      <c r="H61" s="14"/>
      <c r="I61" s="18"/>
      <c r="J61" s="18"/>
    </row>
    <row r="62" spans="1:10" x14ac:dyDescent="0.25">
      <c r="A62" s="21" t="s">
        <v>74</v>
      </c>
      <c r="B62" s="21"/>
      <c r="C62" s="17">
        <v>59.88</v>
      </c>
      <c r="D62" s="17">
        <v>90.61</v>
      </c>
      <c r="E62" s="17">
        <v>96.15</v>
      </c>
      <c r="F62" s="17">
        <v>57.94</v>
      </c>
      <c r="G62" s="17">
        <f>12/12*C62</f>
        <v>59.88</v>
      </c>
      <c r="H62" s="9"/>
      <c r="I62" s="10"/>
      <c r="J62" s="10"/>
    </row>
    <row r="63" spans="1:10" x14ac:dyDescent="0.25">
      <c r="A63" s="21" t="s">
        <v>75</v>
      </c>
      <c r="B63" s="21"/>
      <c r="C63" s="17">
        <v>90.02</v>
      </c>
      <c r="D63" s="17">
        <v>75.760000000000005</v>
      </c>
      <c r="E63" s="17">
        <v>62.28</v>
      </c>
      <c r="F63" s="17">
        <v>66.599999999999994</v>
      </c>
      <c r="G63" s="17">
        <f>12/12*C63</f>
        <v>90.02</v>
      </c>
      <c r="H63" s="9"/>
      <c r="I63" s="10"/>
      <c r="J63" s="10"/>
    </row>
    <row r="64" spans="1:10" x14ac:dyDescent="0.25">
      <c r="A64" s="21" t="s">
        <v>76</v>
      </c>
      <c r="B64" s="21"/>
      <c r="C64" s="17">
        <v>307.20999999999998</v>
      </c>
      <c r="D64" s="17">
        <v>281.20999999999998</v>
      </c>
      <c r="E64" s="17">
        <v>300.02</v>
      </c>
      <c r="F64" s="17">
        <v>295.08</v>
      </c>
      <c r="G64" s="17">
        <f>12/12*C64</f>
        <v>307.20999999999998</v>
      </c>
      <c r="H64" s="9"/>
      <c r="I64" s="10"/>
      <c r="J64" s="10"/>
    </row>
    <row r="65" spans="1:10" x14ac:dyDescent="0.25">
      <c r="A65" s="21" t="s">
        <v>77</v>
      </c>
      <c r="B65" s="21"/>
      <c r="C65" s="17">
        <v>84.54</v>
      </c>
      <c r="D65" s="17">
        <v>108.2</v>
      </c>
      <c r="E65" s="17">
        <v>120.96</v>
      </c>
      <c r="F65" s="17">
        <v>83.12</v>
      </c>
      <c r="G65" s="17">
        <f>12/12*C65</f>
        <v>84.54</v>
      </c>
      <c r="H65" s="9"/>
      <c r="I65" s="10"/>
      <c r="J65" s="10"/>
    </row>
    <row r="66" spans="1:10" x14ac:dyDescent="0.25">
      <c r="C66" s="9"/>
      <c r="D66" s="9"/>
      <c r="E66" s="9"/>
      <c r="F66" s="9"/>
      <c r="G66" s="9"/>
      <c r="H66" s="9"/>
      <c r="I66" s="10"/>
      <c r="J66" s="10"/>
    </row>
    <row r="67" spans="1:10" x14ac:dyDescent="0.25">
      <c r="C67" s="9"/>
      <c r="D67" s="9"/>
      <c r="E67" s="9"/>
      <c r="F67" s="9"/>
      <c r="G67" s="9"/>
      <c r="H67" s="9"/>
      <c r="I67" s="10"/>
      <c r="J67" s="10"/>
    </row>
    <row r="68" spans="1:10" x14ac:dyDescent="0.25">
      <c r="A68" s="22" t="s">
        <v>61</v>
      </c>
      <c r="B68" s="23"/>
      <c r="C68" s="9"/>
      <c r="D68" s="9"/>
      <c r="E68" s="9"/>
      <c r="F68" s="9"/>
      <c r="G68" s="9"/>
      <c r="H68" s="9"/>
      <c r="I68" s="10"/>
      <c r="J68" s="10"/>
    </row>
    <row r="69" spans="1:10" x14ac:dyDescent="0.25">
      <c r="A69" s="3" t="s">
        <v>78</v>
      </c>
      <c r="B69" s="1" t="s">
        <v>229</v>
      </c>
      <c r="C69" s="9"/>
      <c r="D69" s="9"/>
      <c r="E69" s="9"/>
      <c r="F69" s="9"/>
      <c r="G69" s="9"/>
      <c r="H69" s="9"/>
      <c r="I69" s="10"/>
      <c r="J69" s="10"/>
    </row>
    <row r="70" spans="1:10" x14ac:dyDescent="0.25">
      <c r="A70" s="3" t="s">
        <v>71</v>
      </c>
      <c r="B70" s="1" t="s">
        <v>80</v>
      </c>
      <c r="C70" s="9"/>
      <c r="D70" s="9"/>
      <c r="E70" s="9"/>
      <c r="F70" s="9"/>
      <c r="G70" s="9"/>
      <c r="H70" s="9"/>
      <c r="I70" s="10"/>
      <c r="J70" s="10"/>
    </row>
    <row r="71" spans="1:10" x14ac:dyDescent="0.25">
      <c r="A71" s="3" t="s">
        <v>72</v>
      </c>
      <c r="B71" s="1" t="s">
        <v>81</v>
      </c>
    </row>
    <row r="72" spans="1:10" x14ac:dyDescent="0.25">
      <c r="A72" s="3" t="s">
        <v>73</v>
      </c>
      <c r="B72" s="1" t="s">
        <v>82</v>
      </c>
    </row>
  </sheetData>
  <mergeCells count="19">
    <mergeCell ref="C7:G7"/>
    <mergeCell ref="A41:B41"/>
    <mergeCell ref="A42:B42"/>
    <mergeCell ref="A47:B47"/>
    <mergeCell ref="A48:B48"/>
    <mergeCell ref="J56:J57"/>
    <mergeCell ref="A57:B57"/>
    <mergeCell ref="A61:B61"/>
    <mergeCell ref="A62:B62"/>
    <mergeCell ref="A49:B49"/>
    <mergeCell ref="A50:B50"/>
    <mergeCell ref="A55:B55"/>
    <mergeCell ref="A56:B56"/>
    <mergeCell ref="H56:H57"/>
    <mergeCell ref="A63:B63"/>
    <mergeCell ref="A64:B64"/>
    <mergeCell ref="A65:B65"/>
    <mergeCell ref="A68:B68"/>
    <mergeCell ref="I56:I5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J79"/>
  <sheetViews>
    <sheetView workbookViewId="0">
      <selection activeCell="H5" sqref="H5"/>
    </sheetView>
  </sheetViews>
  <sheetFormatPr defaultRowHeight="15" x14ac:dyDescent="0.25"/>
  <cols>
    <col min="1" max="1" width="28.42578125" bestFit="1" customWidth="1"/>
    <col min="2" max="2" width="59.5703125" bestFit="1" customWidth="1"/>
    <col min="3" max="3" width="12.7109375" bestFit="1" customWidth="1"/>
    <col min="4" max="4" width="23" bestFit="1" customWidth="1"/>
    <col min="5" max="5" width="13.85546875" bestFit="1" customWidth="1"/>
    <col min="6" max="6" width="8.5703125" bestFit="1" customWidth="1"/>
    <col min="7" max="7" width="47.7109375" bestFit="1" customWidth="1"/>
    <col min="8" max="9" width="16.7109375" bestFit="1" customWidth="1"/>
    <col min="10" max="10" width="24.42578125" bestFit="1" customWidth="1"/>
  </cols>
  <sheetData>
    <row r="2" spans="1:10" ht="18.75" x14ac:dyDescent="0.3">
      <c r="A2" s="3" t="s">
        <v>0</v>
      </c>
      <c r="B2" s="4" t="s">
        <v>91</v>
      </c>
    </row>
    <row r="3" spans="1:10" x14ac:dyDescent="0.25">
      <c r="A3" s="3" t="s">
        <v>2</v>
      </c>
      <c r="B3" s="1" t="s">
        <v>3</v>
      </c>
    </row>
    <row r="4" spans="1:10" x14ac:dyDescent="0.25">
      <c r="A4" s="3" t="s">
        <v>4</v>
      </c>
      <c r="B4" s="20">
        <v>2880</v>
      </c>
    </row>
    <row r="7" spans="1:10" x14ac:dyDescent="0.25">
      <c r="C7" s="22" t="s">
        <v>5</v>
      </c>
      <c r="D7" s="21"/>
      <c r="E7" s="21"/>
      <c r="F7" s="21"/>
      <c r="G7" s="21"/>
    </row>
    <row r="8" spans="1:10" x14ac:dyDescent="0.25">
      <c r="A8" s="3" t="s">
        <v>6</v>
      </c>
      <c r="B8" s="3" t="s">
        <v>7</v>
      </c>
      <c r="C8" s="15" t="s">
        <v>8</v>
      </c>
      <c r="D8" s="15" t="s">
        <v>9</v>
      </c>
      <c r="E8" s="15" t="s">
        <v>10</v>
      </c>
      <c r="F8" s="15" t="s">
        <v>11</v>
      </c>
      <c r="G8" s="15" t="s">
        <v>12</v>
      </c>
      <c r="H8" s="15" t="s">
        <v>13</v>
      </c>
      <c r="I8" s="15" t="s">
        <v>14</v>
      </c>
      <c r="J8" s="15" t="s">
        <v>15</v>
      </c>
    </row>
    <row r="9" spans="1:10" x14ac:dyDescent="0.25">
      <c r="A9" s="1" t="s">
        <v>16</v>
      </c>
      <c r="B9" s="1" t="s">
        <v>17</v>
      </c>
      <c r="C9" s="11"/>
      <c r="D9" s="11"/>
      <c r="E9" s="11">
        <v>32</v>
      </c>
      <c r="F9" s="11"/>
      <c r="G9" s="11">
        <f t="shared" ref="G9:G41" si="0">SUM(C9:F9)</f>
        <v>32</v>
      </c>
      <c r="H9" s="17">
        <f t="shared" ref="H9:H41" si="1">ROUND(G9/2880,2)</f>
        <v>0.01</v>
      </c>
      <c r="I9" s="16">
        <f t="shared" ref="I9:I41" si="2">ROUND(G9/$G$42,3)</f>
        <v>0</v>
      </c>
      <c r="J9" s="16">
        <f>ROUND(G9/75-1,2)</f>
        <v>-0.56999999999999995</v>
      </c>
    </row>
    <row r="10" spans="1:10" x14ac:dyDescent="0.25">
      <c r="A10" s="1" t="s">
        <v>16</v>
      </c>
      <c r="B10" s="1" t="s">
        <v>19</v>
      </c>
      <c r="C10" s="11">
        <v>80200</v>
      </c>
      <c r="D10" s="11"/>
      <c r="E10" s="11"/>
      <c r="F10" s="11"/>
      <c r="G10" s="11">
        <f t="shared" si="0"/>
        <v>80200</v>
      </c>
      <c r="H10" s="17">
        <f t="shared" si="1"/>
        <v>27.85</v>
      </c>
      <c r="I10" s="16">
        <f t="shared" si="2"/>
        <v>7.4999999999999997E-2</v>
      </c>
      <c r="J10" s="16">
        <f>ROUND(G10/76250-1,2)</f>
        <v>0.05</v>
      </c>
    </row>
    <row r="11" spans="1:10" x14ac:dyDescent="0.25">
      <c r="A11" s="1" t="s">
        <v>16</v>
      </c>
      <c r="B11" s="1" t="s">
        <v>20</v>
      </c>
      <c r="C11" s="11">
        <v>102040</v>
      </c>
      <c r="D11" s="11">
        <v>1390</v>
      </c>
      <c r="E11" s="11"/>
      <c r="F11" s="11"/>
      <c r="G11" s="11">
        <f t="shared" si="0"/>
        <v>103430</v>
      </c>
      <c r="H11" s="17">
        <f t="shared" si="1"/>
        <v>35.909999999999997</v>
      </c>
      <c r="I11" s="16">
        <f t="shared" si="2"/>
        <v>9.7000000000000003E-2</v>
      </c>
      <c r="J11" s="16">
        <f>ROUND(G11/112020-1,2)</f>
        <v>-0.08</v>
      </c>
    </row>
    <row r="12" spans="1:10" x14ac:dyDescent="0.25">
      <c r="A12" s="1" t="s">
        <v>16</v>
      </c>
      <c r="B12" s="1" t="s">
        <v>21</v>
      </c>
      <c r="C12" s="11"/>
      <c r="D12" s="11"/>
      <c r="E12" s="11">
        <v>289</v>
      </c>
      <c r="F12" s="11"/>
      <c r="G12" s="11">
        <f t="shared" si="0"/>
        <v>289</v>
      </c>
      <c r="H12" s="17">
        <f t="shared" si="1"/>
        <v>0.1</v>
      </c>
      <c r="I12" s="16">
        <f t="shared" si="2"/>
        <v>0</v>
      </c>
      <c r="J12" s="16">
        <f>ROUND(G12/341-1,2)</f>
        <v>-0.15</v>
      </c>
    </row>
    <row r="13" spans="1:10" x14ac:dyDescent="0.25">
      <c r="A13" s="1" t="s">
        <v>16</v>
      </c>
      <c r="B13" s="1" t="s">
        <v>22</v>
      </c>
      <c r="C13" s="11"/>
      <c r="D13" s="11"/>
      <c r="E13" s="11">
        <v>1800</v>
      </c>
      <c r="F13" s="11"/>
      <c r="G13" s="11">
        <f t="shared" si="0"/>
        <v>1800</v>
      </c>
      <c r="H13" s="17">
        <f t="shared" si="1"/>
        <v>0.63</v>
      </c>
      <c r="I13" s="16">
        <f t="shared" si="2"/>
        <v>2E-3</v>
      </c>
      <c r="J13" s="16">
        <f>ROUND(G13/2200-1,2)</f>
        <v>-0.18</v>
      </c>
    </row>
    <row r="14" spans="1:10" x14ac:dyDescent="0.25">
      <c r="A14" s="1" t="s">
        <v>16</v>
      </c>
      <c r="B14" s="1" t="s">
        <v>23</v>
      </c>
      <c r="C14" s="11"/>
      <c r="D14" s="11"/>
      <c r="E14" s="11">
        <v>58280</v>
      </c>
      <c r="F14" s="11"/>
      <c r="G14" s="11">
        <f t="shared" si="0"/>
        <v>58280</v>
      </c>
      <c r="H14" s="17">
        <f t="shared" si="1"/>
        <v>20.239999999999998</v>
      </c>
      <c r="I14" s="16">
        <f t="shared" si="2"/>
        <v>5.5E-2</v>
      </c>
      <c r="J14" s="16">
        <f>ROUND(G14/41260-1,2)</f>
        <v>0.41</v>
      </c>
    </row>
    <row r="15" spans="1:10" x14ac:dyDescent="0.25">
      <c r="A15" s="1" t="s">
        <v>16</v>
      </c>
      <c r="B15" s="1" t="s">
        <v>24</v>
      </c>
      <c r="C15" s="11">
        <v>126060</v>
      </c>
      <c r="D15" s="11"/>
      <c r="E15" s="11">
        <v>19850</v>
      </c>
      <c r="F15" s="11"/>
      <c r="G15" s="11">
        <f t="shared" si="0"/>
        <v>145910</v>
      </c>
      <c r="H15" s="17">
        <f t="shared" si="1"/>
        <v>50.66</v>
      </c>
      <c r="I15" s="16">
        <f t="shared" si="2"/>
        <v>0.13700000000000001</v>
      </c>
      <c r="J15" s="16">
        <f>ROUND(G15/136280-1,2)</f>
        <v>7.0000000000000007E-2</v>
      </c>
    </row>
    <row r="16" spans="1:10" x14ac:dyDescent="0.25">
      <c r="A16" s="1" t="s">
        <v>16</v>
      </c>
      <c r="B16" s="1" t="s">
        <v>25</v>
      </c>
      <c r="C16" s="11"/>
      <c r="D16" s="11"/>
      <c r="E16" s="11">
        <v>3280</v>
      </c>
      <c r="F16" s="11"/>
      <c r="G16" s="11">
        <f t="shared" si="0"/>
        <v>3280</v>
      </c>
      <c r="H16" s="17">
        <f t="shared" si="1"/>
        <v>1.1399999999999999</v>
      </c>
      <c r="I16" s="16">
        <f t="shared" si="2"/>
        <v>3.0000000000000001E-3</v>
      </c>
      <c r="J16" s="16">
        <f>ROUND(G16/4170-1,2)</f>
        <v>-0.21</v>
      </c>
    </row>
    <row r="17" spans="1:10" x14ac:dyDescent="0.25">
      <c r="A17" s="1" t="s">
        <v>16</v>
      </c>
      <c r="B17" s="1" t="s">
        <v>26</v>
      </c>
      <c r="C17" s="11">
        <v>150460</v>
      </c>
      <c r="D17" s="11"/>
      <c r="E17" s="11"/>
      <c r="F17" s="11"/>
      <c r="G17" s="11">
        <f t="shared" si="0"/>
        <v>150460</v>
      </c>
      <c r="H17" s="17">
        <f t="shared" si="1"/>
        <v>52.24</v>
      </c>
      <c r="I17" s="16">
        <f t="shared" si="2"/>
        <v>0.14099999999999999</v>
      </c>
      <c r="J17" s="16">
        <f>ROUND(G17/154010-1,2)</f>
        <v>-0.02</v>
      </c>
    </row>
    <row r="18" spans="1:10" x14ac:dyDescent="0.25">
      <c r="A18" s="1" t="s">
        <v>16</v>
      </c>
      <c r="B18" s="1" t="s">
        <v>27</v>
      </c>
      <c r="C18" s="11"/>
      <c r="D18" s="11"/>
      <c r="E18" s="11">
        <v>667</v>
      </c>
      <c r="F18" s="11"/>
      <c r="G18" s="11">
        <f t="shared" si="0"/>
        <v>667</v>
      </c>
      <c r="H18" s="17">
        <f t="shared" si="1"/>
        <v>0.23</v>
      </c>
      <c r="I18" s="16">
        <f t="shared" si="2"/>
        <v>1E-3</v>
      </c>
      <c r="J18" s="16">
        <f>ROUND(G18/574-1,2)</f>
        <v>0.16</v>
      </c>
    </row>
    <row r="19" spans="1:10" x14ac:dyDescent="0.25">
      <c r="A19" s="1" t="s">
        <v>16</v>
      </c>
      <c r="B19" s="1" t="s">
        <v>28</v>
      </c>
      <c r="C19" s="11"/>
      <c r="D19" s="11"/>
      <c r="E19" s="11">
        <v>304</v>
      </c>
      <c r="F19" s="11"/>
      <c r="G19" s="11">
        <f t="shared" si="0"/>
        <v>304</v>
      </c>
      <c r="H19" s="17">
        <f t="shared" si="1"/>
        <v>0.11</v>
      </c>
      <c r="I19" s="16">
        <f t="shared" si="2"/>
        <v>0</v>
      </c>
      <c r="J19" s="16">
        <f>ROUND(G19/347-1,2)</f>
        <v>-0.12</v>
      </c>
    </row>
    <row r="20" spans="1:10" x14ac:dyDescent="0.25">
      <c r="A20" s="1" t="s">
        <v>16</v>
      </c>
      <c r="B20" s="1" t="s">
        <v>29</v>
      </c>
      <c r="C20" s="11"/>
      <c r="D20" s="11"/>
      <c r="E20" s="11">
        <v>150</v>
      </c>
      <c r="F20" s="11"/>
      <c r="G20" s="11">
        <f t="shared" si="0"/>
        <v>150</v>
      </c>
      <c r="H20" s="17">
        <f t="shared" si="1"/>
        <v>0.05</v>
      </c>
      <c r="I20" s="16">
        <f t="shared" si="2"/>
        <v>0</v>
      </c>
      <c r="J20" s="16">
        <f>ROUND(G20/102-1,2)</f>
        <v>0.47</v>
      </c>
    </row>
    <row r="21" spans="1:10" x14ac:dyDescent="0.25">
      <c r="A21" s="1" t="s">
        <v>16</v>
      </c>
      <c r="B21" s="1" t="s">
        <v>30</v>
      </c>
      <c r="C21" s="11"/>
      <c r="D21" s="11"/>
      <c r="E21" s="11">
        <v>3180</v>
      </c>
      <c r="F21" s="11"/>
      <c r="G21" s="11">
        <f t="shared" si="0"/>
        <v>3180</v>
      </c>
      <c r="H21" s="17">
        <f t="shared" si="1"/>
        <v>1.1000000000000001</v>
      </c>
      <c r="I21" s="16">
        <f t="shared" si="2"/>
        <v>3.0000000000000001E-3</v>
      </c>
      <c r="J21" s="16">
        <f>ROUND(G21/4100-1,2)</f>
        <v>-0.22</v>
      </c>
    </row>
    <row r="22" spans="1:10" x14ac:dyDescent="0.25">
      <c r="A22" s="1" t="s">
        <v>16</v>
      </c>
      <c r="B22" s="1" t="s">
        <v>31</v>
      </c>
      <c r="C22" s="11"/>
      <c r="D22" s="11"/>
      <c r="E22" s="11">
        <v>1040</v>
      </c>
      <c r="F22" s="11"/>
      <c r="G22" s="11">
        <f t="shared" si="0"/>
        <v>1040</v>
      </c>
      <c r="H22" s="17">
        <f t="shared" si="1"/>
        <v>0.36</v>
      </c>
      <c r="I22" s="16">
        <f t="shared" si="2"/>
        <v>1E-3</v>
      </c>
      <c r="J22" s="16">
        <f>ROUND(G22/1040-1,2)</f>
        <v>0</v>
      </c>
    </row>
    <row r="23" spans="1:10" x14ac:dyDescent="0.25">
      <c r="A23" s="1" t="s">
        <v>16</v>
      </c>
      <c r="B23" s="1" t="s">
        <v>32</v>
      </c>
      <c r="C23" s="11"/>
      <c r="D23" s="11"/>
      <c r="E23" s="11">
        <v>380</v>
      </c>
      <c r="F23" s="11"/>
      <c r="G23" s="11">
        <f t="shared" si="0"/>
        <v>380</v>
      </c>
      <c r="H23" s="17">
        <f t="shared" si="1"/>
        <v>0.13</v>
      </c>
      <c r="I23" s="16">
        <f t="shared" si="2"/>
        <v>0</v>
      </c>
      <c r="J23" s="16">
        <f>ROUND(G23/540-1,2)</f>
        <v>-0.3</v>
      </c>
    </row>
    <row r="24" spans="1:10" x14ac:dyDescent="0.25">
      <c r="A24" s="1" t="s">
        <v>16</v>
      </c>
      <c r="B24" s="1" t="s">
        <v>33</v>
      </c>
      <c r="C24" s="11"/>
      <c r="D24" s="11"/>
      <c r="E24" s="11">
        <v>2021</v>
      </c>
      <c r="F24" s="11"/>
      <c r="G24" s="11">
        <f t="shared" si="0"/>
        <v>2021</v>
      </c>
      <c r="H24" s="17">
        <f t="shared" si="1"/>
        <v>0.7</v>
      </c>
      <c r="I24" s="16">
        <f t="shared" si="2"/>
        <v>2E-3</v>
      </c>
      <c r="J24" s="16">
        <f>ROUND(G24/1935-1,2)</f>
        <v>0.04</v>
      </c>
    </row>
    <row r="25" spans="1:10" x14ac:dyDescent="0.25">
      <c r="A25" s="1" t="s">
        <v>16</v>
      </c>
      <c r="B25" s="1" t="s">
        <v>34</v>
      </c>
      <c r="C25" s="11"/>
      <c r="D25" s="11">
        <v>59</v>
      </c>
      <c r="E25" s="11">
        <v>217</v>
      </c>
      <c r="F25" s="11"/>
      <c r="G25" s="11">
        <f t="shared" si="0"/>
        <v>276</v>
      </c>
      <c r="H25" s="17">
        <f t="shared" si="1"/>
        <v>0.1</v>
      </c>
      <c r="I25" s="16">
        <f t="shared" si="2"/>
        <v>0</v>
      </c>
      <c r="J25" s="16">
        <f>ROUND(G25/313-1,2)</f>
        <v>-0.12</v>
      </c>
    </row>
    <row r="26" spans="1:10" x14ac:dyDescent="0.25">
      <c r="A26" s="1" t="s">
        <v>16</v>
      </c>
      <c r="B26" s="1" t="s">
        <v>35</v>
      </c>
      <c r="C26" s="11"/>
      <c r="D26" s="11"/>
      <c r="E26" s="11">
        <v>1172</v>
      </c>
      <c r="F26" s="11"/>
      <c r="G26" s="11">
        <f t="shared" si="0"/>
        <v>1172</v>
      </c>
      <c r="H26" s="17">
        <f t="shared" si="1"/>
        <v>0.41</v>
      </c>
      <c r="I26" s="16">
        <f t="shared" si="2"/>
        <v>1E-3</v>
      </c>
      <c r="J26" s="16">
        <f>ROUND(G26/2280-1,2)</f>
        <v>-0.49</v>
      </c>
    </row>
    <row r="27" spans="1:10" x14ac:dyDescent="0.25">
      <c r="A27" s="1" t="s">
        <v>16</v>
      </c>
      <c r="B27" s="1" t="s">
        <v>37</v>
      </c>
      <c r="C27" s="11"/>
      <c r="D27" s="11"/>
      <c r="E27" s="11">
        <v>2410</v>
      </c>
      <c r="F27" s="11"/>
      <c r="G27" s="11">
        <f t="shared" si="0"/>
        <v>2410</v>
      </c>
      <c r="H27" s="17">
        <f t="shared" si="1"/>
        <v>0.84</v>
      </c>
      <c r="I27" s="16">
        <f t="shared" si="2"/>
        <v>2E-3</v>
      </c>
      <c r="J27" s="16">
        <f>ROUND(G27/2100-1,2)</f>
        <v>0.15</v>
      </c>
    </row>
    <row r="28" spans="1:10" x14ac:dyDescent="0.25">
      <c r="A28" s="1" t="s">
        <v>16</v>
      </c>
      <c r="B28" s="1" t="s">
        <v>38</v>
      </c>
      <c r="C28" s="11"/>
      <c r="D28" s="11"/>
      <c r="E28" s="11">
        <v>3500</v>
      </c>
      <c r="F28" s="11"/>
      <c r="G28" s="11">
        <f t="shared" si="0"/>
        <v>3500</v>
      </c>
      <c r="H28" s="17">
        <f t="shared" si="1"/>
        <v>1.22</v>
      </c>
      <c r="I28" s="16">
        <f t="shared" si="2"/>
        <v>3.0000000000000001E-3</v>
      </c>
      <c r="J28" s="16">
        <f>ROUND(G28/6340-1,2)</f>
        <v>-0.45</v>
      </c>
    </row>
    <row r="29" spans="1:10" x14ac:dyDescent="0.25">
      <c r="A29" s="1" t="s">
        <v>16</v>
      </c>
      <c r="B29" s="1" t="s">
        <v>39</v>
      </c>
      <c r="C29" s="11"/>
      <c r="D29" s="11"/>
      <c r="E29" s="11">
        <v>9140</v>
      </c>
      <c r="F29" s="11"/>
      <c r="G29" s="11">
        <f t="shared" si="0"/>
        <v>9140</v>
      </c>
      <c r="H29" s="17">
        <f t="shared" si="1"/>
        <v>3.17</v>
      </c>
      <c r="I29" s="16">
        <f t="shared" si="2"/>
        <v>8.9999999999999993E-3</v>
      </c>
      <c r="J29" s="16">
        <f>ROUND(G29/5900-1,2)</f>
        <v>0.55000000000000004</v>
      </c>
    </row>
    <row r="30" spans="1:10" x14ac:dyDescent="0.25">
      <c r="A30" s="1" t="s">
        <v>16</v>
      </c>
      <c r="B30" s="1" t="s">
        <v>40</v>
      </c>
      <c r="C30" s="11"/>
      <c r="D30" s="11"/>
      <c r="E30" s="11">
        <v>62290</v>
      </c>
      <c r="F30" s="11"/>
      <c r="G30" s="11">
        <f t="shared" si="0"/>
        <v>62290</v>
      </c>
      <c r="H30" s="17">
        <f t="shared" si="1"/>
        <v>21.63</v>
      </c>
      <c r="I30" s="16">
        <f t="shared" si="2"/>
        <v>5.8000000000000003E-2</v>
      </c>
      <c r="J30" s="16">
        <f>ROUND(G30/57860-1,2)</f>
        <v>0.08</v>
      </c>
    </row>
    <row r="31" spans="1:10" x14ac:dyDescent="0.25">
      <c r="A31" s="1" t="s">
        <v>16</v>
      </c>
      <c r="B31" s="1" t="s">
        <v>41</v>
      </c>
      <c r="C31" s="11"/>
      <c r="D31" s="11"/>
      <c r="E31" s="11">
        <v>5600</v>
      </c>
      <c r="F31" s="11"/>
      <c r="G31" s="11">
        <f t="shared" si="0"/>
        <v>5600</v>
      </c>
      <c r="H31" s="17">
        <f t="shared" si="1"/>
        <v>1.94</v>
      </c>
      <c r="I31" s="16">
        <f t="shared" si="2"/>
        <v>5.0000000000000001E-3</v>
      </c>
      <c r="J31" s="16">
        <f>ROUND(G31/5280-1,2)</f>
        <v>0.06</v>
      </c>
    </row>
    <row r="32" spans="1:10" x14ac:dyDescent="0.25">
      <c r="A32" s="1" t="s">
        <v>16</v>
      </c>
      <c r="B32" s="1" t="s">
        <v>42</v>
      </c>
      <c r="C32" s="11"/>
      <c r="D32" s="11"/>
      <c r="E32" s="11">
        <v>16970</v>
      </c>
      <c r="F32" s="11"/>
      <c r="G32" s="11">
        <f t="shared" si="0"/>
        <v>16970</v>
      </c>
      <c r="H32" s="17">
        <f t="shared" si="1"/>
        <v>5.89</v>
      </c>
      <c r="I32" s="16">
        <f t="shared" si="2"/>
        <v>1.6E-2</v>
      </c>
      <c r="J32" s="16">
        <f>ROUND(G32/16430-1,2)</f>
        <v>0.03</v>
      </c>
    </row>
    <row r="33" spans="1:10" x14ac:dyDescent="0.25">
      <c r="A33" s="1" t="s">
        <v>16</v>
      </c>
      <c r="B33" s="1" t="s">
        <v>44</v>
      </c>
      <c r="C33" s="11"/>
      <c r="D33" s="11"/>
      <c r="E33" s="11">
        <v>132390</v>
      </c>
      <c r="F33" s="11"/>
      <c r="G33" s="11">
        <f t="shared" si="0"/>
        <v>132390</v>
      </c>
      <c r="H33" s="17">
        <f t="shared" si="1"/>
        <v>45.97</v>
      </c>
      <c r="I33" s="16">
        <f t="shared" si="2"/>
        <v>0.124</v>
      </c>
      <c r="J33" s="16">
        <f>ROUND(G33/130340-1,2)</f>
        <v>0.02</v>
      </c>
    </row>
    <row r="34" spans="1:10" x14ac:dyDescent="0.25">
      <c r="A34" s="1" t="s">
        <v>16</v>
      </c>
      <c r="B34" s="1" t="s">
        <v>18</v>
      </c>
      <c r="C34" s="11"/>
      <c r="D34" s="11"/>
      <c r="E34" s="11"/>
      <c r="F34" s="11"/>
      <c r="G34" s="11">
        <f t="shared" si="0"/>
        <v>0</v>
      </c>
      <c r="H34" s="17">
        <f t="shared" si="1"/>
        <v>0</v>
      </c>
      <c r="I34" s="16">
        <f t="shared" si="2"/>
        <v>0</v>
      </c>
      <c r="J34" s="16"/>
    </row>
    <row r="35" spans="1:10" x14ac:dyDescent="0.25">
      <c r="A35" s="1" t="s">
        <v>16</v>
      </c>
      <c r="B35" s="1" t="s">
        <v>92</v>
      </c>
      <c r="C35" s="11"/>
      <c r="D35" s="11"/>
      <c r="E35" s="11"/>
      <c r="F35" s="11"/>
      <c r="G35" s="11">
        <f t="shared" si="0"/>
        <v>0</v>
      </c>
      <c r="H35" s="17">
        <f t="shared" si="1"/>
        <v>0</v>
      </c>
      <c r="I35" s="16">
        <f t="shared" si="2"/>
        <v>0</v>
      </c>
      <c r="J35" s="16"/>
    </row>
    <row r="36" spans="1:10" x14ac:dyDescent="0.25">
      <c r="A36" s="1" t="s">
        <v>16</v>
      </c>
      <c r="B36" s="1" t="s">
        <v>36</v>
      </c>
      <c r="C36" s="11"/>
      <c r="D36" s="11"/>
      <c r="E36" s="11"/>
      <c r="F36" s="11"/>
      <c r="G36" s="11">
        <f t="shared" si="0"/>
        <v>0</v>
      </c>
      <c r="H36" s="17">
        <f t="shared" si="1"/>
        <v>0</v>
      </c>
      <c r="I36" s="16">
        <f t="shared" si="2"/>
        <v>0</v>
      </c>
      <c r="J36" s="16">
        <f>ROUND(G36/460-1,2)</f>
        <v>-1</v>
      </c>
    </row>
    <row r="37" spans="1:10" x14ac:dyDescent="0.25">
      <c r="A37" s="1" t="s">
        <v>45</v>
      </c>
      <c r="B37" s="1" t="s">
        <v>46</v>
      </c>
      <c r="C37" s="11">
        <v>232160</v>
      </c>
      <c r="D37" s="11"/>
      <c r="E37" s="11"/>
      <c r="F37" s="11">
        <v>80</v>
      </c>
      <c r="G37" s="11">
        <f t="shared" si="0"/>
        <v>232240</v>
      </c>
      <c r="H37" s="17">
        <f t="shared" si="1"/>
        <v>80.64</v>
      </c>
      <c r="I37" s="16">
        <f t="shared" si="2"/>
        <v>0.218</v>
      </c>
      <c r="J37" s="16">
        <f>ROUND(G37/236760-1,2)</f>
        <v>-0.02</v>
      </c>
    </row>
    <row r="38" spans="1:10" x14ac:dyDescent="0.25">
      <c r="A38" s="1" t="s">
        <v>45</v>
      </c>
      <c r="B38" s="1" t="s">
        <v>47</v>
      </c>
      <c r="C38" s="11"/>
      <c r="D38" s="11"/>
      <c r="E38" s="11">
        <v>47760</v>
      </c>
      <c r="F38" s="11"/>
      <c r="G38" s="11">
        <f t="shared" si="0"/>
        <v>47760</v>
      </c>
      <c r="H38" s="17">
        <f t="shared" si="1"/>
        <v>16.579999999999998</v>
      </c>
      <c r="I38" s="16">
        <f t="shared" si="2"/>
        <v>4.4999999999999998E-2</v>
      </c>
      <c r="J38" s="16">
        <f>ROUND(G38/47930-1,2)</f>
        <v>0</v>
      </c>
    </row>
    <row r="39" spans="1:10" x14ac:dyDescent="0.25">
      <c r="A39" s="1" t="s">
        <v>45</v>
      </c>
      <c r="B39" s="1" t="s">
        <v>48</v>
      </c>
      <c r="C39" s="11"/>
      <c r="D39" s="11"/>
      <c r="E39" s="11"/>
      <c r="F39" s="11"/>
      <c r="G39" s="11">
        <f t="shared" si="0"/>
        <v>0</v>
      </c>
      <c r="H39" s="17">
        <f t="shared" si="1"/>
        <v>0</v>
      </c>
      <c r="I39" s="16">
        <f t="shared" si="2"/>
        <v>0</v>
      </c>
      <c r="J39" s="16">
        <f>ROUND(G39/11060-1,2)</f>
        <v>-1</v>
      </c>
    </row>
    <row r="40" spans="1:10" x14ac:dyDescent="0.25">
      <c r="A40" s="1" t="s">
        <v>49</v>
      </c>
      <c r="B40" s="1" t="s">
        <v>51</v>
      </c>
      <c r="C40" s="11"/>
      <c r="D40" s="11"/>
      <c r="E40" s="11"/>
      <c r="F40" s="11"/>
      <c r="G40" s="11">
        <f t="shared" si="0"/>
        <v>0</v>
      </c>
      <c r="H40" s="17">
        <f t="shared" si="1"/>
        <v>0</v>
      </c>
      <c r="I40" s="16">
        <f t="shared" si="2"/>
        <v>0</v>
      </c>
      <c r="J40" s="16"/>
    </row>
    <row r="41" spans="1:10" x14ac:dyDescent="0.25">
      <c r="A41" s="1" t="s">
        <v>49</v>
      </c>
      <c r="B41" s="1" t="s">
        <v>52</v>
      </c>
      <c r="C41" s="11"/>
      <c r="D41" s="11"/>
      <c r="E41" s="11"/>
      <c r="F41" s="11"/>
      <c r="G41" s="11">
        <f t="shared" si="0"/>
        <v>0</v>
      </c>
      <c r="H41" s="17">
        <f t="shared" si="1"/>
        <v>0</v>
      </c>
      <c r="I41" s="16">
        <f t="shared" si="2"/>
        <v>0</v>
      </c>
      <c r="J41" s="16">
        <f>ROUND(G41/4-1,2)</f>
        <v>-1</v>
      </c>
    </row>
    <row r="42" spans="1:10" x14ac:dyDescent="0.25">
      <c r="A42" s="26" t="s">
        <v>12</v>
      </c>
      <c r="B42" s="26"/>
      <c r="C42" s="12">
        <f t="shared" ref="C42:H42" si="3">SUM(C8:C41)</f>
        <v>690920</v>
      </c>
      <c r="D42" s="12">
        <f t="shared" si="3"/>
        <v>1449</v>
      </c>
      <c r="E42" s="12">
        <f t="shared" si="3"/>
        <v>372722</v>
      </c>
      <c r="F42" s="12">
        <f t="shared" si="3"/>
        <v>80</v>
      </c>
      <c r="G42" s="12">
        <f t="shared" si="3"/>
        <v>1065171</v>
      </c>
      <c r="H42" s="15">
        <f t="shared" si="3"/>
        <v>369.84999999999991</v>
      </c>
      <c r="I42" s="18"/>
      <c r="J42" s="18"/>
    </row>
    <row r="43" spans="1:10" x14ac:dyDescent="0.25">
      <c r="A43" s="26" t="s">
        <v>14</v>
      </c>
      <c r="B43" s="26"/>
      <c r="C43" s="13">
        <f>ROUND(C42/G42,2)</f>
        <v>0.65</v>
      </c>
      <c r="D43" s="13">
        <f>ROUND(D42/G42,2)</f>
        <v>0</v>
      </c>
      <c r="E43" s="13">
        <f>ROUND(E42/G42,2)</f>
        <v>0.35</v>
      </c>
      <c r="F43" s="13">
        <f>ROUND(F42/G42,2)</f>
        <v>0</v>
      </c>
      <c r="G43" s="14"/>
      <c r="H43" s="14"/>
      <c r="I43" s="18"/>
      <c r="J43" s="18"/>
    </row>
    <row r="44" spans="1:10" x14ac:dyDescent="0.25">
      <c r="A44" s="2" t="s">
        <v>53</v>
      </c>
      <c r="B44" s="2"/>
      <c r="C44" s="14"/>
      <c r="D44" s="14"/>
      <c r="E44" s="14"/>
      <c r="F44" s="14"/>
      <c r="G44" s="14"/>
      <c r="H44" s="14"/>
      <c r="I44" s="18"/>
      <c r="J44" s="18"/>
    </row>
    <row r="45" spans="1:10" x14ac:dyDescent="0.25">
      <c r="C45" s="9"/>
      <c r="D45" s="9"/>
      <c r="E45" s="9"/>
      <c r="F45" s="9"/>
      <c r="G45" s="9"/>
      <c r="H45" s="9"/>
      <c r="I45" s="10"/>
      <c r="J45" s="10"/>
    </row>
    <row r="46" spans="1:10" x14ac:dyDescent="0.25">
      <c r="C46" s="9"/>
      <c r="D46" s="9"/>
      <c r="E46" s="9"/>
      <c r="F46" s="9"/>
      <c r="G46" s="9"/>
      <c r="H46" s="9"/>
      <c r="I46" s="10"/>
      <c r="J46" s="10"/>
    </row>
    <row r="47" spans="1:10" x14ac:dyDescent="0.25">
      <c r="C47" s="9"/>
      <c r="D47" s="9"/>
      <c r="E47" s="9"/>
      <c r="F47" s="9"/>
      <c r="G47" s="9"/>
      <c r="H47" s="9"/>
      <c r="I47" s="10"/>
      <c r="J47" s="10"/>
    </row>
    <row r="48" spans="1:10" x14ac:dyDescent="0.25">
      <c r="A48" s="26" t="s">
        <v>54</v>
      </c>
      <c r="B48" s="26"/>
      <c r="C48" s="12" t="s">
        <v>8</v>
      </c>
      <c r="D48" s="12" t="s">
        <v>9</v>
      </c>
      <c r="E48" s="12" t="s">
        <v>10</v>
      </c>
      <c r="F48" s="12" t="s">
        <v>11</v>
      </c>
      <c r="G48" s="12" t="s">
        <v>12</v>
      </c>
      <c r="H48" s="15" t="s">
        <v>13</v>
      </c>
      <c r="I48" s="18"/>
      <c r="J48" s="18"/>
    </row>
    <row r="49" spans="1:10" x14ac:dyDescent="0.25">
      <c r="A49" s="21" t="s">
        <v>55</v>
      </c>
      <c r="B49" s="21"/>
      <c r="C49" s="11">
        <v>458760</v>
      </c>
      <c r="D49" s="11">
        <v>1449</v>
      </c>
      <c r="E49" s="11">
        <v>324962</v>
      </c>
      <c r="F49" s="11">
        <v>0</v>
      </c>
      <c r="G49" s="11">
        <f>SUM(C49:F49)</f>
        <v>785171</v>
      </c>
      <c r="H49" s="17">
        <f>ROUND(G49/2880,2)</f>
        <v>272.63</v>
      </c>
      <c r="I49" s="10"/>
      <c r="J49" s="10"/>
    </row>
    <row r="50" spans="1:10" x14ac:dyDescent="0.25">
      <c r="A50" s="21" t="s">
        <v>56</v>
      </c>
      <c r="B50" s="21"/>
      <c r="C50" s="11">
        <v>232160</v>
      </c>
      <c r="D50" s="11">
        <v>0</v>
      </c>
      <c r="E50" s="11">
        <v>47760</v>
      </c>
      <c r="F50" s="11">
        <v>80</v>
      </c>
      <c r="G50" s="11">
        <f>SUM(C50:F50)</f>
        <v>280000</v>
      </c>
      <c r="H50" s="17">
        <f>ROUND(G50/2880,2)</f>
        <v>97.22</v>
      </c>
      <c r="I50" s="10"/>
      <c r="J50" s="10"/>
    </row>
    <row r="51" spans="1:10" x14ac:dyDescent="0.25">
      <c r="A51" s="21" t="s">
        <v>57</v>
      </c>
      <c r="B51" s="21"/>
      <c r="C51" s="11">
        <v>0</v>
      </c>
      <c r="D51" s="11">
        <v>0</v>
      </c>
      <c r="E51" s="11">
        <v>0</v>
      </c>
      <c r="F51" s="11">
        <v>0</v>
      </c>
      <c r="G51" s="11">
        <f>SUM(C51:F51)</f>
        <v>0</v>
      </c>
      <c r="H51" s="17">
        <f>ROUND(G51/2880,2)</f>
        <v>0</v>
      </c>
      <c r="I51" s="10"/>
      <c r="J51" s="10"/>
    </row>
    <row r="52" spans="1:10" x14ac:dyDescent="0.25">
      <c r="C52" s="9"/>
      <c r="D52" s="9"/>
      <c r="E52" s="9"/>
      <c r="F52" s="9"/>
      <c r="G52" s="9"/>
      <c r="H52" s="9"/>
      <c r="I52" s="10"/>
      <c r="J52" s="10"/>
    </row>
    <row r="53" spans="1:10" x14ac:dyDescent="0.25">
      <c r="C53" s="9"/>
      <c r="D53" s="9"/>
      <c r="E53" s="9"/>
      <c r="F53" s="9"/>
      <c r="G53" s="9"/>
      <c r="H53" s="9"/>
      <c r="I53" s="10"/>
      <c r="J53" s="10"/>
    </row>
    <row r="54" spans="1:10" x14ac:dyDescent="0.25">
      <c r="C54" s="9"/>
      <c r="D54" s="9"/>
      <c r="E54" s="9"/>
      <c r="F54" s="9"/>
      <c r="G54" s="9"/>
      <c r="H54" s="9"/>
      <c r="I54" s="10"/>
      <c r="J54" s="10"/>
    </row>
    <row r="55" spans="1:10" x14ac:dyDescent="0.25">
      <c r="C55" s="9"/>
      <c r="D55" s="9"/>
      <c r="E55" s="9"/>
      <c r="F55" s="9"/>
      <c r="G55" s="9"/>
      <c r="H55" s="9"/>
      <c r="I55" s="10"/>
      <c r="J55" s="10"/>
    </row>
    <row r="56" spans="1:10" x14ac:dyDescent="0.25">
      <c r="A56" s="26" t="s">
        <v>58</v>
      </c>
      <c r="B56" s="26"/>
      <c r="C56" s="15" t="s">
        <v>2</v>
      </c>
      <c r="D56" s="15">
        <v>2024</v>
      </c>
      <c r="E56" s="15" t="s">
        <v>60</v>
      </c>
      <c r="F56" s="14"/>
      <c r="G56" s="15" t="s">
        <v>61</v>
      </c>
      <c r="H56" s="15" t="s">
        <v>2</v>
      </c>
      <c r="I56" s="13" t="s">
        <v>62</v>
      </c>
      <c r="J56" s="13" t="s">
        <v>60</v>
      </c>
    </row>
    <row r="57" spans="1:10" x14ac:dyDescent="0.25">
      <c r="A57" s="21" t="s">
        <v>59</v>
      </c>
      <c r="B57" s="21"/>
      <c r="C57" s="16">
        <f>ROUND(0.7689, 4)</f>
        <v>0.76890000000000003</v>
      </c>
      <c r="D57" s="16">
        <f>ROUND(0.7627, 4)</f>
        <v>0.76270000000000004</v>
      </c>
      <c r="E57" s="16">
        <f>ROUND(0.7856, 4)</f>
        <v>0.78559999999999997</v>
      </c>
      <c r="F57" s="9"/>
      <c r="G57" s="15" t="s">
        <v>63</v>
      </c>
      <c r="H57" s="27" t="s">
        <v>64</v>
      </c>
      <c r="I57" s="24" t="s">
        <v>65</v>
      </c>
      <c r="J57" s="24" t="s">
        <v>66</v>
      </c>
    </row>
    <row r="58" spans="1:10" x14ac:dyDescent="0.25">
      <c r="A58" s="21" t="s">
        <v>67</v>
      </c>
      <c r="B58" s="21"/>
      <c r="C58" s="16">
        <f>ROUND(0.7689, 4)</f>
        <v>0.76890000000000003</v>
      </c>
      <c r="D58" s="16">
        <f>ROUND(0.753, 4)</f>
        <v>0.753</v>
      </c>
      <c r="E58" s="16">
        <f>ROUND(0.7702, 4)</f>
        <v>0.7702</v>
      </c>
      <c r="F58" s="9"/>
      <c r="G58" s="15" t="s">
        <v>68</v>
      </c>
      <c r="H58" s="28"/>
      <c r="I58" s="25"/>
      <c r="J58" s="25"/>
    </row>
    <row r="59" spans="1:10" x14ac:dyDescent="0.25">
      <c r="C59" s="9"/>
      <c r="D59" s="9"/>
      <c r="E59" s="9"/>
      <c r="F59" s="9"/>
      <c r="G59" s="9"/>
      <c r="H59" s="9"/>
      <c r="I59" s="10"/>
      <c r="J59" s="10"/>
    </row>
    <row r="60" spans="1:10" x14ac:dyDescent="0.25">
      <c r="C60" s="9"/>
      <c r="D60" s="9"/>
      <c r="E60" s="9"/>
      <c r="F60" s="9"/>
      <c r="G60" s="9"/>
      <c r="H60" s="9"/>
      <c r="I60" s="10"/>
      <c r="J60" s="10"/>
    </row>
    <row r="61" spans="1:10" x14ac:dyDescent="0.25">
      <c r="C61" s="9"/>
      <c r="D61" s="9"/>
      <c r="E61" s="9"/>
      <c r="F61" s="9"/>
      <c r="G61" s="9"/>
      <c r="H61" s="9"/>
      <c r="I61" s="10"/>
      <c r="J61" s="10"/>
    </row>
    <row r="62" spans="1:10" x14ac:dyDescent="0.25">
      <c r="A62" s="26" t="s">
        <v>69</v>
      </c>
      <c r="B62" s="26"/>
      <c r="C62" s="15" t="s">
        <v>2</v>
      </c>
      <c r="D62" s="15" t="s">
        <v>93</v>
      </c>
      <c r="E62" s="15" t="s">
        <v>71</v>
      </c>
      <c r="F62" s="15" t="s">
        <v>72</v>
      </c>
      <c r="G62" s="15" t="s">
        <v>73</v>
      </c>
      <c r="H62" s="14"/>
      <c r="I62" s="18"/>
      <c r="J62" s="18"/>
    </row>
    <row r="63" spans="1:10" x14ac:dyDescent="0.25">
      <c r="A63" s="21" t="s">
        <v>74</v>
      </c>
      <c r="B63" s="21"/>
      <c r="C63" s="17">
        <v>80.64</v>
      </c>
      <c r="D63" s="17">
        <v>83.44</v>
      </c>
      <c r="E63" s="17">
        <v>96.15</v>
      </c>
      <c r="F63" s="17">
        <v>57.94</v>
      </c>
      <c r="G63" s="17">
        <f>12/12*C63</f>
        <v>80.64</v>
      </c>
      <c r="H63" s="9"/>
      <c r="I63" s="10"/>
      <c r="J63" s="10"/>
    </row>
    <row r="64" spans="1:10" x14ac:dyDescent="0.25">
      <c r="A64" s="21" t="s">
        <v>75</v>
      </c>
      <c r="B64" s="21"/>
      <c r="C64" s="17">
        <v>52.24</v>
      </c>
      <c r="D64" s="17">
        <v>55.79</v>
      </c>
      <c r="E64" s="17">
        <v>62.28</v>
      </c>
      <c r="F64" s="17">
        <v>66.599999999999994</v>
      </c>
      <c r="G64" s="17">
        <f>12/12*C64</f>
        <v>52.24</v>
      </c>
      <c r="H64" s="9"/>
      <c r="I64" s="10"/>
      <c r="J64" s="10"/>
    </row>
    <row r="65" spans="1:10" x14ac:dyDescent="0.25">
      <c r="A65" s="21" t="s">
        <v>76</v>
      </c>
      <c r="B65" s="21"/>
      <c r="C65" s="17">
        <v>272.63</v>
      </c>
      <c r="D65" s="17">
        <v>275.04000000000002</v>
      </c>
      <c r="E65" s="17">
        <v>300.02</v>
      </c>
      <c r="F65" s="17">
        <v>295.08</v>
      </c>
      <c r="G65" s="17">
        <f>12/12*C65</f>
        <v>272.63</v>
      </c>
      <c r="H65" s="9"/>
      <c r="I65" s="10"/>
      <c r="J65" s="10"/>
    </row>
    <row r="66" spans="1:10" x14ac:dyDescent="0.25">
      <c r="A66" s="21" t="s">
        <v>77</v>
      </c>
      <c r="B66" s="21"/>
      <c r="C66" s="17">
        <v>97.22</v>
      </c>
      <c r="D66" s="17">
        <v>103.93</v>
      </c>
      <c r="E66" s="17">
        <v>120.96</v>
      </c>
      <c r="F66" s="17">
        <v>83.12</v>
      </c>
      <c r="G66" s="17">
        <f>12/12*C66</f>
        <v>97.22</v>
      </c>
      <c r="H66" s="9"/>
      <c r="I66" s="10"/>
      <c r="J66" s="10"/>
    </row>
    <row r="67" spans="1:10" x14ac:dyDescent="0.25">
      <c r="C67" s="9"/>
      <c r="D67" s="9"/>
      <c r="E67" s="9"/>
      <c r="F67" s="9"/>
      <c r="G67" s="9"/>
      <c r="H67" s="9"/>
      <c r="I67" s="10"/>
      <c r="J67" s="10"/>
    </row>
    <row r="68" spans="1:10" x14ac:dyDescent="0.25">
      <c r="C68" s="9"/>
      <c r="D68" s="9"/>
      <c r="E68" s="9"/>
      <c r="F68" s="9"/>
      <c r="G68" s="9"/>
      <c r="H68" s="9"/>
      <c r="I68" s="10"/>
      <c r="J68" s="10"/>
    </row>
    <row r="69" spans="1:10" x14ac:dyDescent="0.25">
      <c r="A69" s="22" t="s">
        <v>61</v>
      </c>
      <c r="B69" s="23"/>
      <c r="C69" s="9"/>
      <c r="D69" s="9"/>
      <c r="E69" s="9"/>
      <c r="F69" s="9"/>
      <c r="G69" s="9"/>
      <c r="H69" s="9"/>
      <c r="I69" s="10"/>
      <c r="J69" s="10"/>
    </row>
    <row r="70" spans="1:10" x14ac:dyDescent="0.25">
      <c r="A70" s="3" t="s">
        <v>78</v>
      </c>
      <c r="B70" s="1" t="s">
        <v>94</v>
      </c>
      <c r="C70" s="9"/>
      <c r="D70" s="9"/>
      <c r="E70" s="9"/>
      <c r="F70" s="9"/>
      <c r="G70" s="9"/>
      <c r="H70" s="9"/>
      <c r="I70" s="10"/>
      <c r="J70" s="10"/>
    </row>
    <row r="71" spans="1:10" x14ac:dyDescent="0.25">
      <c r="A71" s="3" t="s">
        <v>71</v>
      </c>
      <c r="B71" s="1" t="s">
        <v>80</v>
      </c>
      <c r="C71" s="9"/>
      <c r="D71" s="9"/>
      <c r="E71" s="9"/>
      <c r="F71" s="9"/>
      <c r="G71" s="9"/>
      <c r="H71" s="9"/>
      <c r="I71" s="10"/>
      <c r="J71" s="10"/>
    </row>
    <row r="72" spans="1:10" x14ac:dyDescent="0.25">
      <c r="A72" s="3" t="s">
        <v>72</v>
      </c>
      <c r="B72" s="1" t="s">
        <v>81</v>
      </c>
      <c r="C72" s="9"/>
      <c r="D72" s="9"/>
      <c r="E72" s="9"/>
      <c r="F72" s="9"/>
      <c r="G72" s="9"/>
      <c r="H72" s="9"/>
      <c r="I72" s="10"/>
      <c r="J72" s="10"/>
    </row>
    <row r="73" spans="1:10" x14ac:dyDescent="0.25">
      <c r="A73" s="3" t="s">
        <v>73</v>
      </c>
      <c r="B73" s="1" t="s">
        <v>82</v>
      </c>
      <c r="C73" s="9"/>
      <c r="D73" s="9"/>
      <c r="E73" s="9"/>
      <c r="F73" s="9"/>
      <c r="G73" s="9"/>
      <c r="H73" s="9"/>
      <c r="I73" s="10"/>
      <c r="J73" s="10"/>
    </row>
    <row r="74" spans="1:10" x14ac:dyDescent="0.25">
      <c r="C74" s="9"/>
      <c r="D74" s="9"/>
      <c r="E74" s="9"/>
      <c r="F74" s="9"/>
      <c r="G74" s="9"/>
      <c r="H74" s="9"/>
      <c r="I74" s="10"/>
      <c r="J74" s="10"/>
    </row>
    <row r="75" spans="1:10" x14ac:dyDescent="0.25">
      <c r="C75" s="9"/>
      <c r="D75" s="9"/>
      <c r="E75" s="9"/>
      <c r="F75" s="9"/>
      <c r="G75" s="9"/>
      <c r="H75" s="9"/>
      <c r="I75" s="10"/>
      <c r="J75" s="10"/>
    </row>
    <row r="76" spans="1:10" x14ac:dyDescent="0.25">
      <c r="C76" s="9"/>
      <c r="D76" s="9"/>
      <c r="E76" s="9"/>
      <c r="F76" s="9"/>
      <c r="G76" s="9"/>
      <c r="H76" s="9"/>
      <c r="I76" s="10"/>
      <c r="J76" s="10"/>
    </row>
    <row r="77" spans="1:10" x14ac:dyDescent="0.25">
      <c r="C77" s="9"/>
      <c r="D77" s="9"/>
      <c r="E77" s="9"/>
      <c r="F77" s="9"/>
      <c r="G77" s="9"/>
      <c r="H77" s="9"/>
      <c r="I77" s="10"/>
      <c r="J77" s="10"/>
    </row>
    <row r="78" spans="1:10" x14ac:dyDescent="0.25">
      <c r="C78" s="9"/>
      <c r="D78" s="9"/>
      <c r="E78" s="9"/>
      <c r="F78" s="9"/>
      <c r="G78" s="9"/>
      <c r="H78" s="9"/>
      <c r="I78" s="10"/>
      <c r="J78" s="10"/>
    </row>
    <row r="79" spans="1:10" x14ac:dyDescent="0.25">
      <c r="C79" s="9"/>
      <c r="D79" s="9"/>
      <c r="E79" s="9"/>
      <c r="F79" s="9"/>
      <c r="G79" s="9"/>
      <c r="H79" s="9"/>
      <c r="I79" s="10"/>
      <c r="J79" s="10"/>
    </row>
  </sheetData>
  <mergeCells count="19">
    <mergeCell ref="C7:G7"/>
    <mergeCell ref="A42:B42"/>
    <mergeCell ref="A43:B43"/>
    <mergeCell ref="A48:B48"/>
    <mergeCell ref="A49:B49"/>
    <mergeCell ref="J57:J58"/>
    <mergeCell ref="A58:B58"/>
    <mergeCell ref="A62:B62"/>
    <mergeCell ref="A63:B63"/>
    <mergeCell ref="A50:B50"/>
    <mergeCell ref="A51:B51"/>
    <mergeCell ref="A56:B56"/>
    <mergeCell ref="A57:B57"/>
    <mergeCell ref="H57:H58"/>
    <mergeCell ref="A64:B64"/>
    <mergeCell ref="A65:B65"/>
    <mergeCell ref="A66:B66"/>
    <mergeCell ref="A69:B69"/>
    <mergeCell ref="I57:I58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J74"/>
  <sheetViews>
    <sheetView workbookViewId="0">
      <selection activeCell="H5" sqref="H5"/>
    </sheetView>
  </sheetViews>
  <sheetFormatPr defaultRowHeight="15" x14ac:dyDescent="0.25"/>
  <cols>
    <col min="1" max="1" width="28.42578125" bestFit="1" customWidth="1"/>
    <col min="2" max="2" width="59.5703125" bestFit="1" customWidth="1"/>
    <col min="3" max="3" width="12.7109375" bestFit="1" customWidth="1"/>
    <col min="4" max="4" width="22" bestFit="1" customWidth="1"/>
    <col min="5" max="5" width="13.85546875" bestFit="1" customWidth="1"/>
    <col min="6" max="6" width="8.5703125" bestFit="1" customWidth="1"/>
    <col min="7" max="7" width="47.7109375" bestFit="1" customWidth="1"/>
    <col min="8" max="9" width="16.7109375" bestFit="1" customWidth="1"/>
    <col min="10" max="10" width="24.42578125" bestFit="1" customWidth="1"/>
  </cols>
  <sheetData>
    <row r="2" spans="1:10" ht="18.75" x14ac:dyDescent="0.3">
      <c r="A2" s="3" t="s">
        <v>0</v>
      </c>
      <c r="B2" s="4" t="s">
        <v>230</v>
      </c>
    </row>
    <row r="3" spans="1:10" x14ac:dyDescent="0.25">
      <c r="A3" s="3" t="s">
        <v>2</v>
      </c>
      <c r="B3" s="1" t="s">
        <v>3</v>
      </c>
    </row>
    <row r="4" spans="1:10" x14ac:dyDescent="0.25">
      <c r="A4" s="3" t="s">
        <v>4</v>
      </c>
      <c r="B4" s="20">
        <v>2781</v>
      </c>
    </row>
    <row r="7" spans="1:10" x14ac:dyDescent="0.25">
      <c r="C7" s="22" t="s">
        <v>5</v>
      </c>
      <c r="D7" s="21"/>
      <c r="E7" s="21"/>
      <c r="F7" s="21"/>
      <c r="G7" s="21"/>
    </row>
    <row r="8" spans="1:10" x14ac:dyDescent="0.25">
      <c r="A8" s="3" t="s">
        <v>6</v>
      </c>
      <c r="B8" s="3" t="s">
        <v>7</v>
      </c>
      <c r="C8" s="15" t="s">
        <v>8</v>
      </c>
      <c r="D8" s="15" t="s">
        <v>9</v>
      </c>
      <c r="E8" s="15" t="s">
        <v>10</v>
      </c>
      <c r="F8" s="15" t="s">
        <v>11</v>
      </c>
      <c r="G8" s="15" t="s">
        <v>12</v>
      </c>
      <c r="H8" s="15" t="s">
        <v>13</v>
      </c>
      <c r="I8" s="15" t="s">
        <v>14</v>
      </c>
      <c r="J8" s="15" t="s">
        <v>15</v>
      </c>
    </row>
    <row r="9" spans="1:10" x14ac:dyDescent="0.25">
      <c r="A9" s="1" t="s">
        <v>16</v>
      </c>
      <c r="B9" s="1" t="s">
        <v>17</v>
      </c>
      <c r="C9" s="11"/>
      <c r="D9" s="11"/>
      <c r="E9" s="11">
        <v>74</v>
      </c>
      <c r="F9" s="11"/>
      <c r="G9" s="11">
        <f t="shared" ref="G9:G38" si="0">SUM(C9:F9)</f>
        <v>74</v>
      </c>
      <c r="H9" s="17">
        <f t="shared" ref="H9:H38" si="1">ROUND(G9/2781,2)</f>
        <v>0.03</v>
      </c>
      <c r="I9" s="16">
        <f t="shared" ref="I9:I38" si="2">ROUND(G9/$G$39,3)</f>
        <v>0</v>
      </c>
      <c r="J9" s="16">
        <f>ROUND(G9/84-1,2)</f>
        <v>-0.12</v>
      </c>
    </row>
    <row r="10" spans="1:10" x14ac:dyDescent="0.25">
      <c r="A10" s="1" t="s">
        <v>16</v>
      </c>
      <c r="B10" s="1" t="s">
        <v>19</v>
      </c>
      <c r="C10" s="11">
        <v>85470</v>
      </c>
      <c r="D10" s="11"/>
      <c r="E10" s="11"/>
      <c r="F10" s="11"/>
      <c r="G10" s="11">
        <f t="shared" si="0"/>
        <v>85470</v>
      </c>
      <c r="H10" s="17">
        <f t="shared" si="1"/>
        <v>30.73</v>
      </c>
      <c r="I10" s="16">
        <f t="shared" si="2"/>
        <v>7.8E-2</v>
      </c>
      <c r="J10" s="16">
        <f>ROUND(G10/88880-1,2)</f>
        <v>-0.04</v>
      </c>
    </row>
    <row r="11" spans="1:10" x14ac:dyDescent="0.25">
      <c r="A11" s="1" t="s">
        <v>16</v>
      </c>
      <c r="B11" s="1" t="s">
        <v>20</v>
      </c>
      <c r="C11" s="11">
        <v>118840</v>
      </c>
      <c r="D11" s="11"/>
      <c r="E11" s="11"/>
      <c r="F11" s="11"/>
      <c r="G11" s="11">
        <f t="shared" si="0"/>
        <v>118840</v>
      </c>
      <c r="H11" s="17">
        <f t="shared" si="1"/>
        <v>42.73</v>
      </c>
      <c r="I11" s="16">
        <f t="shared" si="2"/>
        <v>0.109</v>
      </c>
      <c r="J11" s="16">
        <f>ROUND(G11/112810-1,2)</f>
        <v>0.05</v>
      </c>
    </row>
    <row r="12" spans="1:10" x14ac:dyDescent="0.25">
      <c r="A12" s="1" t="s">
        <v>16</v>
      </c>
      <c r="B12" s="1" t="s">
        <v>21</v>
      </c>
      <c r="C12" s="11"/>
      <c r="D12" s="11"/>
      <c r="E12" s="11">
        <v>108</v>
      </c>
      <c r="F12" s="11"/>
      <c r="G12" s="11">
        <f t="shared" si="0"/>
        <v>108</v>
      </c>
      <c r="H12" s="17">
        <f t="shared" si="1"/>
        <v>0.04</v>
      </c>
      <c r="I12" s="16">
        <f t="shared" si="2"/>
        <v>0</v>
      </c>
      <c r="J12" s="16">
        <f>ROUND(G12/235-1,2)</f>
        <v>-0.54</v>
      </c>
    </row>
    <row r="13" spans="1:10" x14ac:dyDescent="0.25">
      <c r="A13" s="1" t="s">
        <v>16</v>
      </c>
      <c r="B13" s="1" t="s">
        <v>23</v>
      </c>
      <c r="C13" s="11"/>
      <c r="D13" s="11"/>
      <c r="E13" s="11">
        <v>26940</v>
      </c>
      <c r="F13" s="11"/>
      <c r="G13" s="11">
        <f t="shared" si="0"/>
        <v>26940</v>
      </c>
      <c r="H13" s="17">
        <f t="shared" si="1"/>
        <v>9.69</v>
      </c>
      <c r="I13" s="16">
        <f t="shared" si="2"/>
        <v>2.5000000000000001E-2</v>
      </c>
      <c r="J13" s="16">
        <f>ROUND(G13/36460-1,2)</f>
        <v>-0.26</v>
      </c>
    </row>
    <row r="14" spans="1:10" x14ac:dyDescent="0.25">
      <c r="A14" s="1" t="s">
        <v>16</v>
      </c>
      <c r="B14" s="1" t="s">
        <v>24</v>
      </c>
      <c r="C14" s="11">
        <v>113940</v>
      </c>
      <c r="D14" s="11"/>
      <c r="E14" s="11">
        <v>8320</v>
      </c>
      <c r="F14" s="11"/>
      <c r="G14" s="11">
        <f t="shared" si="0"/>
        <v>122260</v>
      </c>
      <c r="H14" s="17">
        <f t="shared" si="1"/>
        <v>43.96</v>
      </c>
      <c r="I14" s="16">
        <f t="shared" si="2"/>
        <v>0.112</v>
      </c>
      <c r="J14" s="16">
        <f>ROUND(G14/115100-1,2)</f>
        <v>0.06</v>
      </c>
    </row>
    <row r="15" spans="1:10" x14ac:dyDescent="0.25">
      <c r="A15" s="1" t="s">
        <v>16</v>
      </c>
      <c r="B15" s="1" t="s">
        <v>25</v>
      </c>
      <c r="C15" s="11"/>
      <c r="D15" s="11"/>
      <c r="E15" s="11">
        <v>5360</v>
      </c>
      <c r="F15" s="11"/>
      <c r="G15" s="11">
        <f t="shared" si="0"/>
        <v>5360</v>
      </c>
      <c r="H15" s="17">
        <f t="shared" si="1"/>
        <v>1.93</v>
      </c>
      <c r="I15" s="16">
        <f t="shared" si="2"/>
        <v>5.0000000000000001E-3</v>
      </c>
      <c r="J15" s="16">
        <f>ROUND(G15/5180-1,2)</f>
        <v>0.03</v>
      </c>
    </row>
    <row r="16" spans="1:10" x14ac:dyDescent="0.25">
      <c r="A16" s="1" t="s">
        <v>16</v>
      </c>
      <c r="B16" s="1" t="s">
        <v>26</v>
      </c>
      <c r="C16" s="11">
        <v>196350</v>
      </c>
      <c r="D16" s="11"/>
      <c r="E16" s="11"/>
      <c r="F16" s="11">
        <v>1020</v>
      </c>
      <c r="G16" s="11">
        <f t="shared" si="0"/>
        <v>197370</v>
      </c>
      <c r="H16" s="17">
        <f t="shared" si="1"/>
        <v>70.97</v>
      </c>
      <c r="I16" s="16">
        <f t="shared" si="2"/>
        <v>0.18099999999999999</v>
      </c>
      <c r="J16" s="16">
        <f>ROUND(G16/198090-1,2)</f>
        <v>0</v>
      </c>
    </row>
    <row r="17" spans="1:10" x14ac:dyDescent="0.25">
      <c r="A17" s="1" t="s">
        <v>16</v>
      </c>
      <c r="B17" s="1" t="s">
        <v>30</v>
      </c>
      <c r="C17" s="11"/>
      <c r="D17" s="11"/>
      <c r="E17" s="11">
        <v>4530</v>
      </c>
      <c r="F17" s="11"/>
      <c r="G17" s="11">
        <f t="shared" si="0"/>
        <v>4530</v>
      </c>
      <c r="H17" s="17">
        <f t="shared" si="1"/>
        <v>1.63</v>
      </c>
      <c r="I17" s="16">
        <f t="shared" si="2"/>
        <v>4.0000000000000001E-3</v>
      </c>
      <c r="J17" s="16">
        <f>ROUND(G17/4810-1,2)</f>
        <v>-0.06</v>
      </c>
    </row>
    <row r="18" spans="1:10" x14ac:dyDescent="0.25">
      <c r="A18" s="1" t="s">
        <v>16</v>
      </c>
      <c r="B18" s="1" t="s">
        <v>31</v>
      </c>
      <c r="C18" s="11"/>
      <c r="D18" s="11"/>
      <c r="E18" s="11">
        <v>700</v>
      </c>
      <c r="F18" s="11"/>
      <c r="G18" s="11">
        <f t="shared" si="0"/>
        <v>700</v>
      </c>
      <c r="H18" s="17">
        <f t="shared" si="1"/>
        <v>0.25</v>
      </c>
      <c r="I18" s="16">
        <f t="shared" si="2"/>
        <v>1E-3</v>
      </c>
      <c r="J18" s="16">
        <f>ROUND(G18/830-1,2)</f>
        <v>-0.16</v>
      </c>
    </row>
    <row r="19" spans="1:10" x14ac:dyDescent="0.25">
      <c r="A19" s="1" t="s">
        <v>16</v>
      </c>
      <c r="B19" s="1" t="s">
        <v>33</v>
      </c>
      <c r="C19" s="11"/>
      <c r="D19" s="11"/>
      <c r="E19" s="11">
        <v>2401</v>
      </c>
      <c r="F19" s="11"/>
      <c r="G19" s="11">
        <f t="shared" si="0"/>
        <v>2401</v>
      </c>
      <c r="H19" s="17">
        <f t="shared" si="1"/>
        <v>0.86</v>
      </c>
      <c r="I19" s="16">
        <f t="shared" si="2"/>
        <v>2E-3</v>
      </c>
      <c r="J19" s="16">
        <f>ROUND(G19/1885-1,2)</f>
        <v>0.27</v>
      </c>
    </row>
    <row r="20" spans="1:10" x14ac:dyDescent="0.25">
      <c r="A20" s="1" t="s">
        <v>16</v>
      </c>
      <c r="B20" s="1" t="s">
        <v>34</v>
      </c>
      <c r="C20" s="11"/>
      <c r="D20" s="11">
        <v>78</v>
      </c>
      <c r="E20" s="11">
        <v>179</v>
      </c>
      <c r="F20" s="11"/>
      <c r="G20" s="11">
        <f t="shared" si="0"/>
        <v>257</v>
      </c>
      <c r="H20" s="17">
        <f t="shared" si="1"/>
        <v>0.09</v>
      </c>
      <c r="I20" s="16">
        <f t="shared" si="2"/>
        <v>0</v>
      </c>
      <c r="J20" s="16">
        <f>ROUND(G20/246-1,2)</f>
        <v>0.04</v>
      </c>
    </row>
    <row r="21" spans="1:10" x14ac:dyDescent="0.25">
      <c r="A21" s="1" t="s">
        <v>16</v>
      </c>
      <c r="B21" s="1" t="s">
        <v>35</v>
      </c>
      <c r="C21" s="11"/>
      <c r="D21" s="11"/>
      <c r="E21" s="11">
        <v>1361</v>
      </c>
      <c r="F21" s="11">
        <v>810</v>
      </c>
      <c r="G21" s="11">
        <f t="shared" si="0"/>
        <v>2171</v>
      </c>
      <c r="H21" s="17">
        <f t="shared" si="1"/>
        <v>0.78</v>
      </c>
      <c r="I21" s="16">
        <f t="shared" si="2"/>
        <v>2E-3</v>
      </c>
      <c r="J21" s="16">
        <f>ROUND(G21/900-1,2)</f>
        <v>1.41</v>
      </c>
    </row>
    <row r="22" spans="1:10" x14ac:dyDescent="0.25">
      <c r="A22" s="1" t="s">
        <v>16</v>
      </c>
      <c r="B22" s="1" t="s">
        <v>37</v>
      </c>
      <c r="C22" s="11"/>
      <c r="D22" s="11"/>
      <c r="E22" s="11">
        <v>1180</v>
      </c>
      <c r="F22" s="11"/>
      <c r="G22" s="11">
        <f t="shared" si="0"/>
        <v>1180</v>
      </c>
      <c r="H22" s="17">
        <f t="shared" si="1"/>
        <v>0.42</v>
      </c>
      <c r="I22" s="16">
        <f t="shared" si="2"/>
        <v>1E-3</v>
      </c>
      <c r="J22" s="16">
        <f>ROUND(G22/1990-1,2)</f>
        <v>-0.41</v>
      </c>
    </row>
    <row r="23" spans="1:10" x14ac:dyDescent="0.25">
      <c r="A23" s="1" t="s">
        <v>16</v>
      </c>
      <c r="B23" s="1" t="s">
        <v>39</v>
      </c>
      <c r="C23" s="11"/>
      <c r="D23" s="11"/>
      <c r="E23" s="11">
        <v>6840</v>
      </c>
      <c r="F23" s="11"/>
      <c r="G23" s="11">
        <f t="shared" si="0"/>
        <v>6840</v>
      </c>
      <c r="H23" s="17">
        <f t="shared" si="1"/>
        <v>2.46</v>
      </c>
      <c r="I23" s="16">
        <f t="shared" si="2"/>
        <v>6.0000000000000001E-3</v>
      </c>
      <c r="J23" s="16">
        <f>ROUND(G23/4690-1,2)</f>
        <v>0.46</v>
      </c>
    </row>
    <row r="24" spans="1:10" x14ac:dyDescent="0.25">
      <c r="A24" s="1" t="s">
        <v>16</v>
      </c>
      <c r="B24" s="1" t="s">
        <v>38</v>
      </c>
      <c r="C24" s="11"/>
      <c r="D24" s="11"/>
      <c r="E24" s="11">
        <v>1660</v>
      </c>
      <c r="F24" s="11"/>
      <c r="G24" s="11">
        <f t="shared" si="0"/>
        <v>1660</v>
      </c>
      <c r="H24" s="17">
        <f t="shared" si="1"/>
        <v>0.6</v>
      </c>
      <c r="I24" s="16">
        <f t="shared" si="2"/>
        <v>2E-3</v>
      </c>
      <c r="J24" s="16">
        <f>ROUND(G24/3580-1,2)</f>
        <v>-0.54</v>
      </c>
    </row>
    <row r="25" spans="1:10" x14ac:dyDescent="0.25">
      <c r="A25" s="1" t="s">
        <v>16</v>
      </c>
      <c r="B25" s="1" t="s">
        <v>40</v>
      </c>
      <c r="C25" s="11"/>
      <c r="D25" s="11"/>
      <c r="E25" s="11">
        <v>60975</v>
      </c>
      <c r="F25" s="11"/>
      <c r="G25" s="11">
        <f t="shared" si="0"/>
        <v>60975</v>
      </c>
      <c r="H25" s="17">
        <f t="shared" si="1"/>
        <v>21.93</v>
      </c>
      <c r="I25" s="16">
        <f t="shared" si="2"/>
        <v>5.6000000000000001E-2</v>
      </c>
      <c r="J25" s="16">
        <f>ROUND(G25/64280-1,2)</f>
        <v>-0.05</v>
      </c>
    </row>
    <row r="26" spans="1:10" x14ac:dyDescent="0.25">
      <c r="A26" s="1" t="s">
        <v>16</v>
      </c>
      <c r="B26" s="1" t="s">
        <v>42</v>
      </c>
      <c r="C26" s="11"/>
      <c r="D26" s="11"/>
      <c r="E26" s="11">
        <v>20610</v>
      </c>
      <c r="F26" s="11"/>
      <c r="G26" s="11">
        <f t="shared" si="0"/>
        <v>20610</v>
      </c>
      <c r="H26" s="17">
        <f t="shared" si="1"/>
        <v>7.41</v>
      </c>
      <c r="I26" s="16">
        <f t="shared" si="2"/>
        <v>1.9E-2</v>
      </c>
      <c r="J26" s="16">
        <f>ROUND(G26/18180-1,2)</f>
        <v>0.13</v>
      </c>
    </row>
    <row r="27" spans="1:10" x14ac:dyDescent="0.25">
      <c r="A27" s="1" t="s">
        <v>16</v>
      </c>
      <c r="B27" s="1" t="s">
        <v>44</v>
      </c>
      <c r="C27" s="11"/>
      <c r="D27" s="11"/>
      <c r="E27" s="11">
        <v>92010</v>
      </c>
      <c r="F27" s="11"/>
      <c r="G27" s="11">
        <f t="shared" si="0"/>
        <v>92010</v>
      </c>
      <c r="H27" s="17">
        <f t="shared" si="1"/>
        <v>33.090000000000003</v>
      </c>
      <c r="I27" s="16">
        <f t="shared" si="2"/>
        <v>8.4000000000000005E-2</v>
      </c>
      <c r="J27" s="16">
        <f>ROUND(G27/91690-1,2)</f>
        <v>0</v>
      </c>
    </row>
    <row r="28" spans="1:10" x14ac:dyDescent="0.25">
      <c r="A28" s="1" t="s">
        <v>16</v>
      </c>
      <c r="B28" s="1" t="s">
        <v>36</v>
      </c>
      <c r="C28" s="11"/>
      <c r="D28" s="11"/>
      <c r="E28" s="11"/>
      <c r="F28" s="11"/>
      <c r="G28" s="11">
        <f t="shared" si="0"/>
        <v>0</v>
      </c>
      <c r="H28" s="17">
        <f t="shared" si="1"/>
        <v>0</v>
      </c>
      <c r="I28" s="16">
        <f t="shared" si="2"/>
        <v>0</v>
      </c>
      <c r="J28" s="16">
        <f>ROUND(G28/365-1,2)</f>
        <v>-1</v>
      </c>
    </row>
    <row r="29" spans="1:10" x14ac:dyDescent="0.25">
      <c r="A29" s="1" t="s">
        <v>16</v>
      </c>
      <c r="B29" s="1" t="s">
        <v>29</v>
      </c>
      <c r="C29" s="11"/>
      <c r="D29" s="11"/>
      <c r="E29" s="11"/>
      <c r="F29" s="11"/>
      <c r="G29" s="11">
        <f t="shared" si="0"/>
        <v>0</v>
      </c>
      <c r="H29" s="17">
        <f t="shared" si="1"/>
        <v>0</v>
      </c>
      <c r="I29" s="16">
        <f t="shared" si="2"/>
        <v>0</v>
      </c>
      <c r="J29" s="16">
        <f>ROUND(G29/76-1,2)</f>
        <v>-1</v>
      </c>
    </row>
    <row r="30" spans="1:10" x14ac:dyDescent="0.25">
      <c r="A30" s="1" t="s">
        <v>16</v>
      </c>
      <c r="B30" s="1" t="s">
        <v>41</v>
      </c>
      <c r="C30" s="11"/>
      <c r="D30" s="11"/>
      <c r="E30" s="11"/>
      <c r="F30" s="11"/>
      <c r="G30" s="11">
        <f t="shared" si="0"/>
        <v>0</v>
      </c>
      <c r="H30" s="17">
        <f t="shared" si="1"/>
        <v>0</v>
      </c>
      <c r="I30" s="16">
        <f t="shared" si="2"/>
        <v>0</v>
      </c>
      <c r="J30" s="16"/>
    </row>
    <row r="31" spans="1:10" x14ac:dyDescent="0.25">
      <c r="A31" s="1" t="s">
        <v>16</v>
      </c>
      <c r="B31" s="1" t="s">
        <v>32</v>
      </c>
      <c r="C31" s="11"/>
      <c r="D31" s="11"/>
      <c r="E31" s="11"/>
      <c r="F31" s="11"/>
      <c r="G31" s="11">
        <f t="shared" si="0"/>
        <v>0</v>
      </c>
      <c r="H31" s="17">
        <f t="shared" si="1"/>
        <v>0</v>
      </c>
      <c r="I31" s="16">
        <f t="shared" si="2"/>
        <v>0</v>
      </c>
      <c r="J31" s="16"/>
    </row>
    <row r="32" spans="1:10" x14ac:dyDescent="0.25">
      <c r="A32" s="1" t="s">
        <v>16</v>
      </c>
      <c r="B32" s="1" t="s">
        <v>22</v>
      </c>
      <c r="C32" s="11"/>
      <c r="D32" s="11"/>
      <c r="E32" s="11"/>
      <c r="F32" s="11"/>
      <c r="G32" s="11">
        <f t="shared" si="0"/>
        <v>0</v>
      </c>
      <c r="H32" s="17">
        <f t="shared" si="1"/>
        <v>0</v>
      </c>
      <c r="I32" s="16">
        <f t="shared" si="2"/>
        <v>0</v>
      </c>
      <c r="J32" s="16"/>
    </row>
    <row r="33" spans="1:10" x14ac:dyDescent="0.25">
      <c r="A33" s="1" t="s">
        <v>45</v>
      </c>
      <c r="B33" s="1" t="s">
        <v>46</v>
      </c>
      <c r="C33" s="11">
        <v>295600</v>
      </c>
      <c r="D33" s="11"/>
      <c r="E33" s="11"/>
      <c r="F33" s="11"/>
      <c r="G33" s="11">
        <f t="shared" si="0"/>
        <v>295600</v>
      </c>
      <c r="H33" s="17">
        <f t="shared" si="1"/>
        <v>106.29</v>
      </c>
      <c r="I33" s="16">
        <f t="shared" si="2"/>
        <v>0.27100000000000002</v>
      </c>
      <c r="J33" s="16">
        <f>ROUND(G33/290240-1,2)</f>
        <v>0.02</v>
      </c>
    </row>
    <row r="34" spans="1:10" x14ac:dyDescent="0.25">
      <c r="A34" s="1" t="s">
        <v>45</v>
      </c>
      <c r="B34" s="1" t="s">
        <v>47</v>
      </c>
      <c r="C34" s="11"/>
      <c r="D34" s="11"/>
      <c r="E34" s="11">
        <v>44270</v>
      </c>
      <c r="F34" s="11"/>
      <c r="G34" s="11">
        <f t="shared" si="0"/>
        <v>44270</v>
      </c>
      <c r="H34" s="17">
        <f t="shared" si="1"/>
        <v>15.92</v>
      </c>
      <c r="I34" s="16">
        <f t="shared" si="2"/>
        <v>4.1000000000000002E-2</v>
      </c>
      <c r="J34" s="16">
        <f>ROUND(G34/37740-1,2)</f>
        <v>0.17</v>
      </c>
    </row>
    <row r="35" spans="1:10" x14ac:dyDescent="0.25">
      <c r="A35" s="1" t="s">
        <v>45</v>
      </c>
      <c r="B35" s="1" t="s">
        <v>48</v>
      </c>
      <c r="C35" s="11"/>
      <c r="D35" s="11"/>
      <c r="E35" s="11"/>
      <c r="F35" s="11"/>
      <c r="G35" s="11">
        <f t="shared" si="0"/>
        <v>0</v>
      </c>
      <c r="H35" s="17">
        <f t="shared" si="1"/>
        <v>0</v>
      </c>
      <c r="I35" s="16">
        <f t="shared" si="2"/>
        <v>0</v>
      </c>
      <c r="J35" s="16">
        <f>ROUND(G35/18670-1,2)</f>
        <v>-1</v>
      </c>
    </row>
    <row r="36" spans="1:10" x14ac:dyDescent="0.25">
      <c r="A36" s="1" t="s">
        <v>49</v>
      </c>
      <c r="B36" s="1" t="s">
        <v>52</v>
      </c>
      <c r="C36" s="11"/>
      <c r="D36" s="11"/>
      <c r="E36" s="11"/>
      <c r="F36" s="11"/>
      <c r="G36" s="11">
        <f t="shared" si="0"/>
        <v>0</v>
      </c>
      <c r="H36" s="17">
        <f t="shared" si="1"/>
        <v>0</v>
      </c>
      <c r="I36" s="16">
        <f t="shared" si="2"/>
        <v>0</v>
      </c>
      <c r="J36" s="16"/>
    </row>
    <row r="37" spans="1:10" x14ac:dyDescent="0.25">
      <c r="A37" s="1" t="s">
        <v>49</v>
      </c>
      <c r="B37" s="1" t="s">
        <v>100</v>
      </c>
      <c r="C37" s="11"/>
      <c r="D37" s="11"/>
      <c r="E37" s="11"/>
      <c r="F37" s="11"/>
      <c r="G37" s="11">
        <f t="shared" si="0"/>
        <v>0</v>
      </c>
      <c r="H37" s="17">
        <f t="shared" si="1"/>
        <v>0</v>
      </c>
      <c r="I37" s="16">
        <f t="shared" si="2"/>
        <v>0</v>
      </c>
      <c r="J37" s="16"/>
    </row>
    <row r="38" spans="1:10" x14ac:dyDescent="0.25">
      <c r="A38" s="1" t="s">
        <v>49</v>
      </c>
      <c r="B38" s="1" t="s">
        <v>51</v>
      </c>
      <c r="C38" s="11"/>
      <c r="D38" s="11"/>
      <c r="E38" s="11"/>
      <c r="F38" s="11"/>
      <c r="G38" s="11">
        <f t="shared" si="0"/>
        <v>0</v>
      </c>
      <c r="H38" s="17">
        <f t="shared" si="1"/>
        <v>0</v>
      </c>
      <c r="I38" s="16">
        <f t="shared" si="2"/>
        <v>0</v>
      </c>
      <c r="J38" s="16"/>
    </row>
    <row r="39" spans="1:10" x14ac:dyDescent="0.25">
      <c r="A39" s="26" t="s">
        <v>12</v>
      </c>
      <c r="B39" s="26"/>
      <c r="C39" s="12">
        <f t="shared" ref="C39:H39" si="3">SUM(C8:C38)</f>
        <v>810200</v>
      </c>
      <c r="D39" s="12">
        <f t="shared" si="3"/>
        <v>78</v>
      </c>
      <c r="E39" s="12">
        <f t="shared" si="3"/>
        <v>277518</v>
      </c>
      <c r="F39" s="12">
        <f t="shared" si="3"/>
        <v>1830</v>
      </c>
      <c r="G39" s="12">
        <f t="shared" si="3"/>
        <v>1089626</v>
      </c>
      <c r="H39" s="15">
        <f t="shared" si="3"/>
        <v>391.81000000000006</v>
      </c>
      <c r="I39" s="18"/>
      <c r="J39" s="18"/>
    </row>
    <row r="40" spans="1:10" x14ac:dyDescent="0.25">
      <c r="A40" s="26" t="s">
        <v>14</v>
      </c>
      <c r="B40" s="26"/>
      <c r="C40" s="13">
        <f>ROUND(C39/G39,2)</f>
        <v>0.74</v>
      </c>
      <c r="D40" s="13">
        <f>ROUND(D39/G39,2)</f>
        <v>0</v>
      </c>
      <c r="E40" s="13">
        <f>ROUND(E39/G39,2)</f>
        <v>0.25</v>
      </c>
      <c r="F40" s="13">
        <f>ROUND(F39/G39,2)</f>
        <v>0</v>
      </c>
      <c r="G40" s="14"/>
      <c r="H40" s="14"/>
      <c r="I40" s="18"/>
      <c r="J40" s="18"/>
    </row>
    <row r="41" spans="1:10" x14ac:dyDescent="0.25">
      <c r="A41" s="2" t="s">
        <v>53</v>
      </c>
      <c r="B41" s="2"/>
      <c r="C41" s="14"/>
      <c r="D41" s="14"/>
      <c r="E41" s="14"/>
      <c r="F41" s="14"/>
      <c r="G41" s="14"/>
      <c r="H41" s="14"/>
      <c r="I41" s="18"/>
      <c r="J41" s="18"/>
    </row>
    <row r="42" spans="1:10" x14ac:dyDescent="0.25">
      <c r="C42" s="9"/>
      <c r="D42" s="9"/>
      <c r="E42" s="9"/>
      <c r="F42" s="9"/>
      <c r="G42" s="9"/>
      <c r="H42" s="9"/>
      <c r="I42" s="10"/>
      <c r="J42" s="10"/>
    </row>
    <row r="43" spans="1:10" x14ac:dyDescent="0.25">
      <c r="C43" s="9"/>
      <c r="D43" s="9"/>
      <c r="E43" s="9"/>
      <c r="F43" s="9"/>
      <c r="G43" s="9"/>
      <c r="H43" s="9"/>
      <c r="I43" s="10"/>
      <c r="J43" s="10"/>
    </row>
    <row r="44" spans="1:10" x14ac:dyDescent="0.25">
      <c r="C44" s="9"/>
      <c r="D44" s="9"/>
      <c r="E44" s="9"/>
      <c r="F44" s="9"/>
      <c r="G44" s="9"/>
      <c r="H44" s="9"/>
      <c r="I44" s="10"/>
      <c r="J44" s="10"/>
    </row>
    <row r="45" spans="1:10" x14ac:dyDescent="0.25">
      <c r="A45" s="26" t="s">
        <v>54</v>
      </c>
      <c r="B45" s="26"/>
      <c r="C45" s="12" t="s">
        <v>8</v>
      </c>
      <c r="D45" s="12" t="s">
        <v>9</v>
      </c>
      <c r="E45" s="12" t="s">
        <v>10</v>
      </c>
      <c r="F45" s="12" t="s">
        <v>11</v>
      </c>
      <c r="G45" s="12" t="s">
        <v>12</v>
      </c>
      <c r="H45" s="15" t="s">
        <v>13</v>
      </c>
      <c r="I45" s="18"/>
      <c r="J45" s="18"/>
    </row>
    <row r="46" spans="1:10" x14ac:dyDescent="0.25">
      <c r="A46" s="21" t="s">
        <v>55</v>
      </c>
      <c r="B46" s="21"/>
      <c r="C46" s="11">
        <v>514600</v>
      </c>
      <c r="D46" s="11">
        <v>78</v>
      </c>
      <c r="E46" s="11">
        <v>233248</v>
      </c>
      <c r="F46" s="11">
        <v>1830</v>
      </c>
      <c r="G46" s="11">
        <f>SUM(C46:F46)</f>
        <v>749756</v>
      </c>
      <c r="H46" s="17">
        <f>ROUND(G46/2781,2)</f>
        <v>269.60000000000002</v>
      </c>
      <c r="I46" s="10"/>
      <c r="J46" s="10"/>
    </row>
    <row r="47" spans="1:10" x14ac:dyDescent="0.25">
      <c r="A47" s="21" t="s">
        <v>56</v>
      </c>
      <c r="B47" s="21"/>
      <c r="C47" s="11">
        <v>295600</v>
      </c>
      <c r="D47" s="11">
        <v>0</v>
      </c>
      <c r="E47" s="11">
        <v>44270</v>
      </c>
      <c r="F47" s="11">
        <v>0</v>
      </c>
      <c r="G47" s="11">
        <f>SUM(C47:F47)</f>
        <v>339870</v>
      </c>
      <c r="H47" s="17">
        <f>ROUND(G47/2781,2)</f>
        <v>122.21</v>
      </c>
      <c r="I47" s="10"/>
      <c r="J47" s="10"/>
    </row>
    <row r="48" spans="1:10" x14ac:dyDescent="0.25">
      <c r="A48" s="21" t="s">
        <v>57</v>
      </c>
      <c r="B48" s="21"/>
      <c r="C48" s="11">
        <v>0</v>
      </c>
      <c r="D48" s="11">
        <v>0</v>
      </c>
      <c r="E48" s="11">
        <v>0</v>
      </c>
      <c r="F48" s="11">
        <v>0</v>
      </c>
      <c r="G48" s="11">
        <f>SUM(C48:F48)</f>
        <v>0</v>
      </c>
      <c r="H48" s="17">
        <f>ROUND(G48/2781,2)</f>
        <v>0</v>
      </c>
      <c r="I48" s="10"/>
      <c r="J48" s="10"/>
    </row>
    <row r="49" spans="1:10" x14ac:dyDescent="0.25">
      <c r="C49" s="9"/>
      <c r="D49" s="9"/>
      <c r="E49" s="9"/>
      <c r="F49" s="9"/>
      <c r="G49" s="9"/>
      <c r="H49" s="9"/>
      <c r="I49" s="10"/>
      <c r="J49" s="10"/>
    </row>
    <row r="50" spans="1:10" x14ac:dyDescent="0.25">
      <c r="C50" s="9"/>
      <c r="D50" s="9"/>
      <c r="E50" s="9"/>
      <c r="F50" s="9"/>
      <c r="G50" s="9"/>
      <c r="H50" s="9"/>
      <c r="I50" s="10"/>
      <c r="J50" s="10"/>
    </row>
    <row r="51" spans="1:10" x14ac:dyDescent="0.25">
      <c r="C51" s="9"/>
      <c r="D51" s="9"/>
      <c r="E51" s="9"/>
      <c r="F51" s="9"/>
      <c r="G51" s="9"/>
      <c r="H51" s="9"/>
      <c r="I51" s="10"/>
      <c r="J51" s="10"/>
    </row>
    <row r="52" spans="1:10" x14ac:dyDescent="0.25">
      <c r="C52" s="9"/>
      <c r="D52" s="9"/>
      <c r="E52" s="9"/>
      <c r="F52" s="9"/>
      <c r="G52" s="9"/>
      <c r="H52" s="9"/>
      <c r="I52" s="10"/>
      <c r="J52" s="10"/>
    </row>
    <row r="53" spans="1:10" x14ac:dyDescent="0.25">
      <c r="A53" s="26" t="s">
        <v>58</v>
      </c>
      <c r="B53" s="26"/>
      <c r="C53" s="15" t="s">
        <v>2</v>
      </c>
      <c r="D53" s="15">
        <v>2024</v>
      </c>
      <c r="E53" s="15" t="s">
        <v>60</v>
      </c>
      <c r="F53" s="14"/>
      <c r="G53" s="15" t="s">
        <v>61</v>
      </c>
      <c r="H53" s="15" t="s">
        <v>2</v>
      </c>
      <c r="I53" s="13" t="s">
        <v>62</v>
      </c>
      <c r="J53" s="13" t="s">
        <v>60</v>
      </c>
    </row>
    <row r="54" spans="1:10" x14ac:dyDescent="0.25">
      <c r="A54" s="21" t="s">
        <v>59</v>
      </c>
      <c r="B54" s="21"/>
      <c r="C54" s="16">
        <f>ROUND(0.7218, 4)</f>
        <v>0.7218</v>
      </c>
      <c r="D54" s="16">
        <f>ROUND(0.7233, 4)</f>
        <v>0.72330000000000005</v>
      </c>
      <c r="E54" s="16">
        <f>ROUND(0.7856, 4)</f>
        <v>0.78559999999999997</v>
      </c>
      <c r="F54" s="9"/>
      <c r="G54" s="15" t="s">
        <v>63</v>
      </c>
      <c r="H54" s="27" t="s">
        <v>64</v>
      </c>
      <c r="I54" s="24" t="s">
        <v>65</v>
      </c>
      <c r="J54" s="24" t="s">
        <v>66</v>
      </c>
    </row>
    <row r="55" spans="1:10" x14ac:dyDescent="0.25">
      <c r="A55" s="21" t="s">
        <v>67</v>
      </c>
      <c r="B55" s="21"/>
      <c r="C55" s="16">
        <f>ROUND(0.7218, 4)</f>
        <v>0.7218</v>
      </c>
      <c r="D55" s="16">
        <f>ROUND(0.7125, 4)</f>
        <v>0.71250000000000002</v>
      </c>
      <c r="E55" s="16">
        <f>ROUND(0.7702, 4)</f>
        <v>0.7702</v>
      </c>
      <c r="F55" s="9"/>
      <c r="G55" s="15" t="s">
        <v>68</v>
      </c>
      <c r="H55" s="28"/>
      <c r="I55" s="25"/>
      <c r="J55" s="25"/>
    </row>
    <row r="56" spans="1:10" x14ac:dyDescent="0.25">
      <c r="C56" s="9"/>
      <c r="D56" s="9"/>
      <c r="E56" s="9"/>
      <c r="F56" s="9"/>
      <c r="G56" s="9"/>
      <c r="H56" s="9"/>
      <c r="I56" s="10"/>
      <c r="J56" s="10"/>
    </row>
    <row r="57" spans="1:10" x14ac:dyDescent="0.25">
      <c r="C57" s="9"/>
      <c r="D57" s="9"/>
      <c r="E57" s="9"/>
      <c r="F57" s="9"/>
      <c r="G57" s="9"/>
      <c r="H57" s="9"/>
      <c r="I57" s="10"/>
      <c r="J57" s="10"/>
    </row>
    <row r="58" spans="1:10" x14ac:dyDescent="0.25">
      <c r="C58" s="9"/>
      <c r="D58" s="9"/>
      <c r="E58" s="9"/>
      <c r="F58" s="9"/>
      <c r="G58" s="9"/>
      <c r="H58" s="9"/>
      <c r="I58" s="10"/>
      <c r="J58" s="10"/>
    </row>
    <row r="59" spans="1:10" x14ac:dyDescent="0.25">
      <c r="A59" s="26" t="s">
        <v>69</v>
      </c>
      <c r="B59" s="26"/>
      <c r="C59" s="15" t="s">
        <v>2</v>
      </c>
      <c r="D59" s="15" t="s">
        <v>231</v>
      </c>
      <c r="E59" s="15" t="s">
        <v>71</v>
      </c>
      <c r="F59" s="15" t="s">
        <v>72</v>
      </c>
      <c r="G59" s="15" t="s">
        <v>73</v>
      </c>
      <c r="H59" s="14"/>
      <c r="I59" s="18"/>
      <c r="J59" s="18"/>
    </row>
    <row r="60" spans="1:10" x14ac:dyDescent="0.25">
      <c r="A60" s="21" t="s">
        <v>74</v>
      </c>
      <c r="B60" s="21"/>
      <c r="C60" s="17">
        <v>106.29</v>
      </c>
      <c r="D60" s="17">
        <v>99.44</v>
      </c>
      <c r="E60" s="17">
        <v>96.15</v>
      </c>
      <c r="F60" s="17">
        <v>57.94</v>
      </c>
      <c r="G60" s="17">
        <f>12/12*C60</f>
        <v>106.29</v>
      </c>
      <c r="H60" s="9"/>
      <c r="I60" s="10"/>
      <c r="J60" s="10"/>
    </row>
    <row r="61" spans="1:10" x14ac:dyDescent="0.25">
      <c r="A61" s="21" t="s">
        <v>75</v>
      </c>
      <c r="B61" s="21"/>
      <c r="C61" s="17">
        <v>70.97</v>
      </c>
      <c r="D61" s="17">
        <v>71.02</v>
      </c>
      <c r="E61" s="17">
        <v>62.28</v>
      </c>
      <c r="F61" s="17">
        <v>66.599999999999994</v>
      </c>
      <c r="G61" s="17">
        <f>12/12*C61</f>
        <v>70.97</v>
      </c>
      <c r="H61" s="9"/>
      <c r="I61" s="10"/>
      <c r="J61" s="10"/>
    </row>
    <row r="62" spans="1:10" x14ac:dyDescent="0.25">
      <c r="A62" s="21" t="s">
        <v>76</v>
      </c>
      <c r="B62" s="21"/>
      <c r="C62" s="17">
        <v>269.60000000000002</v>
      </c>
      <c r="D62" s="17">
        <v>277</v>
      </c>
      <c r="E62" s="17">
        <v>300.02</v>
      </c>
      <c r="F62" s="17">
        <v>295.08</v>
      </c>
      <c r="G62" s="17">
        <f>12/12*C62</f>
        <v>269.60000000000002</v>
      </c>
      <c r="H62" s="9"/>
      <c r="I62" s="10"/>
      <c r="J62" s="10"/>
    </row>
    <row r="63" spans="1:10" x14ac:dyDescent="0.25">
      <c r="A63" s="21" t="s">
        <v>77</v>
      </c>
      <c r="B63" s="21"/>
      <c r="C63" s="17">
        <v>122.21</v>
      </c>
      <c r="D63" s="17">
        <v>119.91</v>
      </c>
      <c r="E63" s="17">
        <v>120.96</v>
      </c>
      <c r="F63" s="17">
        <v>83.12</v>
      </c>
      <c r="G63" s="17">
        <f>12/12*C63</f>
        <v>122.21</v>
      </c>
      <c r="H63" s="9"/>
      <c r="I63" s="10"/>
      <c r="J63" s="10"/>
    </row>
    <row r="64" spans="1:10" x14ac:dyDescent="0.25">
      <c r="C64" s="9"/>
      <c r="D64" s="9"/>
      <c r="E64" s="9"/>
      <c r="F64" s="9"/>
      <c r="G64" s="9"/>
      <c r="H64" s="9"/>
      <c r="I64" s="10"/>
      <c r="J64" s="10"/>
    </row>
    <row r="65" spans="1:10" x14ac:dyDescent="0.25">
      <c r="C65" s="9"/>
      <c r="D65" s="9"/>
      <c r="E65" s="9"/>
      <c r="F65" s="9"/>
      <c r="G65" s="9"/>
      <c r="H65" s="9"/>
      <c r="I65" s="10"/>
      <c r="J65" s="10"/>
    </row>
    <row r="66" spans="1:10" x14ac:dyDescent="0.25">
      <c r="A66" s="22" t="s">
        <v>61</v>
      </c>
      <c r="B66" s="23"/>
      <c r="C66" s="9"/>
      <c r="D66" s="9"/>
      <c r="E66" s="9"/>
      <c r="F66" s="9"/>
      <c r="G66" s="9"/>
      <c r="H66" s="9"/>
      <c r="I66" s="10"/>
      <c r="J66" s="10"/>
    </row>
    <row r="67" spans="1:10" x14ac:dyDescent="0.25">
      <c r="A67" s="3" t="s">
        <v>78</v>
      </c>
      <c r="B67" s="1" t="s">
        <v>232</v>
      </c>
      <c r="C67" s="9"/>
      <c r="D67" s="9"/>
      <c r="E67" s="9"/>
      <c r="F67" s="9"/>
      <c r="G67" s="9"/>
      <c r="H67" s="9"/>
      <c r="I67" s="10"/>
      <c r="J67" s="10"/>
    </row>
    <row r="68" spans="1:10" x14ac:dyDescent="0.25">
      <c r="A68" s="3" t="s">
        <v>71</v>
      </c>
      <c r="B68" s="1" t="s">
        <v>80</v>
      </c>
      <c r="C68" s="9"/>
      <c r="D68" s="9"/>
      <c r="E68" s="9"/>
      <c r="F68" s="9"/>
      <c r="G68" s="9"/>
      <c r="H68" s="9"/>
      <c r="I68" s="10"/>
      <c r="J68" s="10"/>
    </row>
    <row r="69" spans="1:10" x14ac:dyDescent="0.25">
      <c r="A69" s="3" t="s">
        <v>72</v>
      </c>
      <c r="B69" s="1" t="s">
        <v>81</v>
      </c>
      <c r="C69" s="9"/>
      <c r="D69" s="9"/>
      <c r="E69" s="9"/>
      <c r="F69" s="9"/>
      <c r="G69" s="9"/>
      <c r="H69" s="9"/>
      <c r="I69" s="10"/>
      <c r="J69" s="10"/>
    </row>
    <row r="70" spans="1:10" x14ac:dyDescent="0.25">
      <c r="A70" s="3" t="s">
        <v>73</v>
      </c>
      <c r="B70" s="1" t="s">
        <v>82</v>
      </c>
      <c r="C70" s="9"/>
      <c r="D70" s="9"/>
      <c r="E70" s="9"/>
      <c r="F70" s="9"/>
      <c r="G70" s="9"/>
      <c r="H70" s="9"/>
      <c r="I70" s="10"/>
      <c r="J70" s="10"/>
    </row>
    <row r="71" spans="1:10" x14ac:dyDescent="0.25">
      <c r="C71" s="9"/>
      <c r="D71" s="9"/>
      <c r="E71" s="9"/>
      <c r="F71" s="9"/>
      <c r="G71" s="9"/>
      <c r="H71" s="9"/>
      <c r="I71" s="10"/>
      <c r="J71" s="10"/>
    </row>
    <row r="72" spans="1:10" x14ac:dyDescent="0.25">
      <c r="C72" s="9"/>
      <c r="D72" s="9"/>
      <c r="E72" s="9"/>
      <c r="F72" s="9"/>
      <c r="G72" s="9"/>
      <c r="H72" s="9"/>
      <c r="I72" s="10"/>
      <c r="J72" s="10"/>
    </row>
    <row r="73" spans="1:10" x14ac:dyDescent="0.25">
      <c r="C73" s="9"/>
      <c r="D73" s="9"/>
      <c r="E73" s="9"/>
      <c r="F73" s="9"/>
      <c r="G73" s="9"/>
      <c r="H73" s="9"/>
      <c r="I73" s="10"/>
      <c r="J73" s="10"/>
    </row>
    <row r="74" spans="1:10" x14ac:dyDescent="0.25">
      <c r="C74" s="9"/>
      <c r="D74" s="9"/>
      <c r="E74" s="9"/>
      <c r="F74" s="9"/>
      <c r="G74" s="9"/>
      <c r="H74" s="9"/>
      <c r="I74" s="10"/>
      <c r="J74" s="10"/>
    </row>
  </sheetData>
  <mergeCells count="19">
    <mergeCell ref="C7:G7"/>
    <mergeCell ref="A39:B39"/>
    <mergeCell ref="A40:B40"/>
    <mergeCell ref="A45:B45"/>
    <mergeCell ref="A46:B46"/>
    <mergeCell ref="J54:J55"/>
    <mergeCell ref="A55:B55"/>
    <mergeCell ref="A59:B59"/>
    <mergeCell ref="A60:B60"/>
    <mergeCell ref="A47:B47"/>
    <mergeCell ref="A48:B48"/>
    <mergeCell ref="A53:B53"/>
    <mergeCell ref="A54:B54"/>
    <mergeCell ref="H54:H55"/>
    <mergeCell ref="A61:B61"/>
    <mergeCell ref="A62:B62"/>
    <mergeCell ref="A63:B63"/>
    <mergeCell ref="A66:B66"/>
    <mergeCell ref="I54:I55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J76"/>
  <sheetViews>
    <sheetView workbookViewId="0">
      <selection activeCell="H5" sqref="H5"/>
    </sheetView>
  </sheetViews>
  <sheetFormatPr defaultRowHeight="15" x14ac:dyDescent="0.25"/>
  <cols>
    <col min="1" max="1" width="28.42578125" bestFit="1" customWidth="1"/>
    <col min="2" max="2" width="59.5703125" bestFit="1" customWidth="1"/>
    <col min="3" max="3" width="12.7109375" bestFit="1" customWidth="1"/>
    <col min="4" max="4" width="20.85546875" bestFit="1" customWidth="1"/>
    <col min="5" max="5" width="13.85546875" bestFit="1" customWidth="1"/>
    <col min="6" max="6" width="8.5703125" bestFit="1" customWidth="1"/>
    <col min="7" max="7" width="47.7109375" bestFit="1" customWidth="1"/>
    <col min="8" max="9" width="16.7109375" bestFit="1" customWidth="1"/>
    <col min="10" max="10" width="24.42578125" bestFit="1" customWidth="1"/>
  </cols>
  <sheetData>
    <row r="2" spans="1:10" ht="18.75" x14ac:dyDescent="0.3">
      <c r="A2" s="3" t="s">
        <v>0</v>
      </c>
      <c r="B2" s="4" t="s">
        <v>233</v>
      </c>
    </row>
    <row r="3" spans="1:10" x14ac:dyDescent="0.25">
      <c r="A3" s="3" t="s">
        <v>2</v>
      </c>
      <c r="B3" s="1" t="s">
        <v>3</v>
      </c>
    </row>
    <row r="4" spans="1:10" x14ac:dyDescent="0.25">
      <c r="A4" s="3" t="s">
        <v>4</v>
      </c>
      <c r="B4" s="20">
        <v>1724</v>
      </c>
    </row>
    <row r="7" spans="1:10" x14ac:dyDescent="0.25">
      <c r="C7" s="22" t="s">
        <v>5</v>
      </c>
      <c r="D7" s="21"/>
      <c r="E7" s="21"/>
      <c r="F7" s="21"/>
      <c r="G7" s="21"/>
    </row>
    <row r="8" spans="1:10" x14ac:dyDescent="0.25">
      <c r="A8" s="3" t="s">
        <v>6</v>
      </c>
      <c r="B8" s="3" t="s">
        <v>7</v>
      </c>
      <c r="C8" s="15" t="s">
        <v>8</v>
      </c>
      <c r="D8" s="15" t="s">
        <v>9</v>
      </c>
      <c r="E8" s="15" t="s">
        <v>10</v>
      </c>
      <c r="F8" s="15" t="s">
        <v>11</v>
      </c>
      <c r="G8" s="15" t="s">
        <v>12</v>
      </c>
      <c r="H8" s="15" t="s">
        <v>13</v>
      </c>
      <c r="I8" s="15" t="s">
        <v>14</v>
      </c>
      <c r="J8" s="15" t="s">
        <v>15</v>
      </c>
    </row>
    <row r="9" spans="1:10" x14ac:dyDescent="0.25">
      <c r="A9" s="1" t="s">
        <v>16</v>
      </c>
      <c r="B9" s="1" t="s">
        <v>17</v>
      </c>
      <c r="C9" s="11"/>
      <c r="D9" s="11"/>
      <c r="E9" s="11">
        <v>71</v>
      </c>
      <c r="F9" s="11"/>
      <c r="G9" s="11">
        <f t="shared" ref="G9:G42" si="0">SUM(C9:F9)</f>
        <v>71</v>
      </c>
      <c r="H9" s="17">
        <f t="shared" ref="H9:H42" si="1">ROUND(G9/1724,2)</f>
        <v>0.04</v>
      </c>
      <c r="I9" s="16">
        <f t="shared" ref="I9:I42" si="2">ROUND(G9/$G$43,3)</f>
        <v>0</v>
      </c>
      <c r="J9" s="16">
        <f>ROUND(G9/37-1,2)</f>
        <v>0.92</v>
      </c>
    </row>
    <row r="10" spans="1:10" x14ac:dyDescent="0.25">
      <c r="A10" s="1" t="s">
        <v>16</v>
      </c>
      <c r="B10" s="1" t="s">
        <v>19</v>
      </c>
      <c r="C10" s="11">
        <v>48030</v>
      </c>
      <c r="D10" s="11"/>
      <c r="E10" s="11">
        <v>9327</v>
      </c>
      <c r="F10" s="11"/>
      <c r="G10" s="11">
        <f t="shared" si="0"/>
        <v>57357</v>
      </c>
      <c r="H10" s="17">
        <f t="shared" si="1"/>
        <v>33.270000000000003</v>
      </c>
      <c r="I10" s="16">
        <f t="shared" si="2"/>
        <v>8.6999999999999994E-2</v>
      </c>
      <c r="J10" s="16">
        <f>ROUND(G10/50552-1,2)</f>
        <v>0.13</v>
      </c>
    </row>
    <row r="11" spans="1:10" x14ac:dyDescent="0.25">
      <c r="A11" s="1" t="s">
        <v>16</v>
      </c>
      <c r="B11" s="1" t="s">
        <v>20</v>
      </c>
      <c r="C11" s="11">
        <v>60300</v>
      </c>
      <c r="D11" s="11">
        <v>1700</v>
      </c>
      <c r="E11" s="11"/>
      <c r="F11" s="11"/>
      <c r="G11" s="11">
        <f t="shared" si="0"/>
        <v>62000</v>
      </c>
      <c r="H11" s="17">
        <f t="shared" si="1"/>
        <v>35.96</v>
      </c>
      <c r="I11" s="16">
        <f t="shared" si="2"/>
        <v>9.4E-2</v>
      </c>
      <c r="J11" s="16">
        <f>ROUND(G11/72320-1,2)</f>
        <v>-0.14000000000000001</v>
      </c>
    </row>
    <row r="12" spans="1:10" x14ac:dyDescent="0.25">
      <c r="A12" s="1" t="s">
        <v>16</v>
      </c>
      <c r="B12" s="1" t="s">
        <v>21</v>
      </c>
      <c r="C12" s="11"/>
      <c r="D12" s="11"/>
      <c r="E12" s="11">
        <v>220</v>
      </c>
      <c r="F12" s="11"/>
      <c r="G12" s="11">
        <f t="shared" si="0"/>
        <v>220</v>
      </c>
      <c r="H12" s="17">
        <f t="shared" si="1"/>
        <v>0.13</v>
      </c>
      <c r="I12" s="16">
        <f t="shared" si="2"/>
        <v>0</v>
      </c>
      <c r="J12" s="16">
        <f>ROUND(G12/183-1,2)</f>
        <v>0.2</v>
      </c>
    </row>
    <row r="13" spans="1:10" x14ac:dyDescent="0.25">
      <c r="A13" s="1" t="s">
        <v>16</v>
      </c>
      <c r="B13" s="1" t="s">
        <v>22</v>
      </c>
      <c r="C13" s="11"/>
      <c r="D13" s="11"/>
      <c r="E13" s="11">
        <v>1433</v>
      </c>
      <c r="F13" s="11"/>
      <c r="G13" s="11">
        <f t="shared" si="0"/>
        <v>1433</v>
      </c>
      <c r="H13" s="17">
        <f t="shared" si="1"/>
        <v>0.83</v>
      </c>
      <c r="I13" s="16">
        <f t="shared" si="2"/>
        <v>2E-3</v>
      </c>
      <c r="J13" s="16">
        <f>ROUND(G13/2105-1,2)</f>
        <v>-0.32</v>
      </c>
    </row>
    <row r="14" spans="1:10" x14ac:dyDescent="0.25">
      <c r="A14" s="1" t="s">
        <v>16</v>
      </c>
      <c r="B14" s="1" t="s">
        <v>23</v>
      </c>
      <c r="C14" s="11"/>
      <c r="D14" s="11"/>
      <c r="E14" s="11">
        <v>135156</v>
      </c>
      <c r="F14" s="11"/>
      <c r="G14" s="11">
        <f t="shared" si="0"/>
        <v>135156</v>
      </c>
      <c r="H14" s="17">
        <f t="shared" si="1"/>
        <v>78.400000000000006</v>
      </c>
      <c r="I14" s="16">
        <f t="shared" si="2"/>
        <v>0.20399999999999999</v>
      </c>
      <c r="J14" s="16">
        <f>ROUND(G14/102774-1,2)</f>
        <v>0.32</v>
      </c>
    </row>
    <row r="15" spans="1:10" x14ac:dyDescent="0.25">
      <c r="A15" s="1" t="s">
        <v>16</v>
      </c>
      <c r="B15" s="1" t="s">
        <v>24</v>
      </c>
      <c r="C15" s="11">
        <v>49780</v>
      </c>
      <c r="D15" s="11"/>
      <c r="E15" s="11">
        <v>17935</v>
      </c>
      <c r="F15" s="11"/>
      <c r="G15" s="11">
        <f t="shared" si="0"/>
        <v>67715</v>
      </c>
      <c r="H15" s="17">
        <f t="shared" si="1"/>
        <v>39.28</v>
      </c>
      <c r="I15" s="16">
        <f t="shared" si="2"/>
        <v>0.10199999999999999</v>
      </c>
      <c r="J15" s="16">
        <f>ROUND(G15/78847-1,2)</f>
        <v>-0.14000000000000001</v>
      </c>
    </row>
    <row r="16" spans="1:10" x14ac:dyDescent="0.25">
      <c r="A16" s="1" t="s">
        <v>16</v>
      </c>
      <c r="B16" s="1" t="s">
        <v>25</v>
      </c>
      <c r="C16" s="11"/>
      <c r="D16" s="11"/>
      <c r="E16" s="11">
        <v>4193</v>
      </c>
      <c r="F16" s="11"/>
      <c r="G16" s="11">
        <f t="shared" si="0"/>
        <v>4193</v>
      </c>
      <c r="H16" s="17">
        <f t="shared" si="1"/>
        <v>2.4300000000000002</v>
      </c>
      <c r="I16" s="16">
        <f t="shared" si="2"/>
        <v>6.0000000000000001E-3</v>
      </c>
      <c r="J16" s="16">
        <f>ROUND(G16/3100-1,2)</f>
        <v>0.35</v>
      </c>
    </row>
    <row r="17" spans="1:10" x14ac:dyDescent="0.25">
      <c r="A17" s="1" t="s">
        <v>16</v>
      </c>
      <c r="B17" s="1" t="s">
        <v>26</v>
      </c>
      <c r="C17" s="11">
        <v>46030</v>
      </c>
      <c r="D17" s="11"/>
      <c r="E17" s="11"/>
      <c r="F17" s="11"/>
      <c r="G17" s="11">
        <f t="shared" si="0"/>
        <v>46030</v>
      </c>
      <c r="H17" s="17">
        <f t="shared" si="1"/>
        <v>26.7</v>
      </c>
      <c r="I17" s="16">
        <f t="shared" si="2"/>
        <v>7.0000000000000007E-2</v>
      </c>
      <c r="J17" s="16">
        <f>ROUND(G17/45740-1,2)</f>
        <v>0.01</v>
      </c>
    </row>
    <row r="18" spans="1:10" x14ac:dyDescent="0.25">
      <c r="A18" s="1" t="s">
        <v>16</v>
      </c>
      <c r="B18" s="1" t="s">
        <v>27</v>
      </c>
      <c r="C18" s="11"/>
      <c r="D18" s="11"/>
      <c r="E18" s="11">
        <v>972</v>
      </c>
      <c r="F18" s="11"/>
      <c r="G18" s="11">
        <f t="shared" si="0"/>
        <v>972</v>
      </c>
      <c r="H18" s="17">
        <f t="shared" si="1"/>
        <v>0.56000000000000005</v>
      </c>
      <c r="I18" s="16">
        <f t="shared" si="2"/>
        <v>1E-3</v>
      </c>
      <c r="J18" s="16">
        <f>ROUND(G18/992-1,2)</f>
        <v>-0.02</v>
      </c>
    </row>
    <row r="19" spans="1:10" x14ac:dyDescent="0.25">
      <c r="A19" s="1" t="s">
        <v>16</v>
      </c>
      <c r="B19" s="1" t="s">
        <v>28</v>
      </c>
      <c r="C19" s="11"/>
      <c r="D19" s="11"/>
      <c r="E19" s="11">
        <v>419</v>
      </c>
      <c r="F19" s="11"/>
      <c r="G19" s="11">
        <f t="shared" si="0"/>
        <v>419</v>
      </c>
      <c r="H19" s="17">
        <f t="shared" si="1"/>
        <v>0.24</v>
      </c>
      <c r="I19" s="16">
        <f t="shared" si="2"/>
        <v>1E-3</v>
      </c>
      <c r="J19" s="16">
        <f>ROUND(G19/530-1,2)</f>
        <v>-0.21</v>
      </c>
    </row>
    <row r="20" spans="1:10" x14ac:dyDescent="0.25">
      <c r="A20" s="1" t="s">
        <v>16</v>
      </c>
      <c r="B20" s="1" t="s">
        <v>29</v>
      </c>
      <c r="C20" s="11"/>
      <c r="D20" s="11"/>
      <c r="E20" s="11">
        <v>98</v>
      </c>
      <c r="F20" s="11"/>
      <c r="G20" s="11">
        <f t="shared" si="0"/>
        <v>98</v>
      </c>
      <c r="H20" s="17">
        <f t="shared" si="1"/>
        <v>0.06</v>
      </c>
      <c r="I20" s="16">
        <f t="shared" si="2"/>
        <v>0</v>
      </c>
      <c r="J20" s="16"/>
    </row>
    <row r="21" spans="1:10" x14ac:dyDescent="0.25">
      <c r="A21" s="1" t="s">
        <v>16</v>
      </c>
      <c r="B21" s="1" t="s">
        <v>30</v>
      </c>
      <c r="C21" s="11"/>
      <c r="D21" s="11"/>
      <c r="E21" s="11">
        <v>3549</v>
      </c>
      <c r="F21" s="11"/>
      <c r="G21" s="11">
        <f t="shared" si="0"/>
        <v>3549</v>
      </c>
      <c r="H21" s="17">
        <f t="shared" si="1"/>
        <v>2.06</v>
      </c>
      <c r="I21" s="16">
        <f t="shared" si="2"/>
        <v>5.0000000000000001E-3</v>
      </c>
      <c r="J21" s="16">
        <f>ROUND(G21/4773-1,2)</f>
        <v>-0.26</v>
      </c>
    </row>
    <row r="22" spans="1:10" x14ac:dyDescent="0.25">
      <c r="A22" s="1" t="s">
        <v>16</v>
      </c>
      <c r="B22" s="1" t="s">
        <v>31</v>
      </c>
      <c r="C22" s="11"/>
      <c r="D22" s="11"/>
      <c r="E22" s="11">
        <v>373</v>
      </c>
      <c r="F22" s="11"/>
      <c r="G22" s="11">
        <f t="shared" si="0"/>
        <v>373</v>
      </c>
      <c r="H22" s="17">
        <f t="shared" si="1"/>
        <v>0.22</v>
      </c>
      <c r="I22" s="16">
        <f t="shared" si="2"/>
        <v>1E-3</v>
      </c>
      <c r="J22" s="16">
        <f>ROUND(G22/529-1,2)</f>
        <v>-0.28999999999999998</v>
      </c>
    </row>
    <row r="23" spans="1:10" x14ac:dyDescent="0.25">
      <c r="A23" s="1" t="s">
        <v>16</v>
      </c>
      <c r="B23" s="1" t="s">
        <v>33</v>
      </c>
      <c r="C23" s="11"/>
      <c r="D23" s="11"/>
      <c r="E23" s="11">
        <v>1523</v>
      </c>
      <c r="F23" s="11"/>
      <c r="G23" s="11">
        <f t="shared" si="0"/>
        <v>1523</v>
      </c>
      <c r="H23" s="17">
        <f t="shared" si="1"/>
        <v>0.88</v>
      </c>
      <c r="I23" s="16">
        <f t="shared" si="2"/>
        <v>2E-3</v>
      </c>
      <c r="J23" s="16">
        <f>ROUND(G23/1883-1,2)</f>
        <v>-0.19</v>
      </c>
    </row>
    <row r="24" spans="1:10" x14ac:dyDescent="0.25">
      <c r="A24" s="1" t="s">
        <v>16</v>
      </c>
      <c r="B24" s="1" t="s">
        <v>34</v>
      </c>
      <c r="C24" s="11"/>
      <c r="D24" s="11"/>
      <c r="E24" s="11">
        <v>95</v>
      </c>
      <c r="F24" s="11"/>
      <c r="G24" s="11">
        <f t="shared" si="0"/>
        <v>95</v>
      </c>
      <c r="H24" s="17">
        <f t="shared" si="1"/>
        <v>0.06</v>
      </c>
      <c r="I24" s="16">
        <f t="shared" si="2"/>
        <v>0</v>
      </c>
      <c r="J24" s="16">
        <f>ROUND(G24/232-1,2)</f>
        <v>-0.59</v>
      </c>
    </row>
    <row r="25" spans="1:10" x14ac:dyDescent="0.25">
      <c r="A25" s="1" t="s">
        <v>16</v>
      </c>
      <c r="B25" s="1" t="s">
        <v>35</v>
      </c>
      <c r="C25" s="11"/>
      <c r="D25" s="11"/>
      <c r="E25" s="11">
        <v>1762</v>
      </c>
      <c r="F25" s="11"/>
      <c r="G25" s="11">
        <f t="shared" si="0"/>
        <v>1762</v>
      </c>
      <c r="H25" s="17">
        <f t="shared" si="1"/>
        <v>1.02</v>
      </c>
      <c r="I25" s="16">
        <f t="shared" si="2"/>
        <v>3.0000000000000001E-3</v>
      </c>
      <c r="J25" s="16">
        <f>ROUND(G25/251-1,2)</f>
        <v>6.02</v>
      </c>
    </row>
    <row r="26" spans="1:10" x14ac:dyDescent="0.25">
      <c r="A26" s="1" t="s">
        <v>16</v>
      </c>
      <c r="B26" s="1" t="s">
        <v>37</v>
      </c>
      <c r="C26" s="11"/>
      <c r="D26" s="11"/>
      <c r="E26" s="11">
        <v>1944</v>
      </c>
      <c r="F26" s="11"/>
      <c r="G26" s="11">
        <f t="shared" si="0"/>
        <v>1944</v>
      </c>
      <c r="H26" s="17">
        <f t="shared" si="1"/>
        <v>1.1299999999999999</v>
      </c>
      <c r="I26" s="16">
        <f t="shared" si="2"/>
        <v>3.0000000000000001E-3</v>
      </c>
      <c r="J26" s="16">
        <f>ROUND(G26/1908-1,2)</f>
        <v>0.02</v>
      </c>
    </row>
    <row r="27" spans="1:10" x14ac:dyDescent="0.25">
      <c r="A27" s="1" t="s">
        <v>16</v>
      </c>
      <c r="B27" s="1" t="s">
        <v>39</v>
      </c>
      <c r="C27" s="11"/>
      <c r="D27" s="11"/>
      <c r="E27" s="11">
        <v>6261</v>
      </c>
      <c r="F27" s="11"/>
      <c r="G27" s="11">
        <f t="shared" si="0"/>
        <v>6261</v>
      </c>
      <c r="H27" s="17">
        <f t="shared" si="1"/>
        <v>3.63</v>
      </c>
      <c r="I27" s="16">
        <f t="shared" si="2"/>
        <v>8.9999999999999993E-3</v>
      </c>
      <c r="J27" s="16">
        <f>ROUND(G27/5563-1,2)</f>
        <v>0.13</v>
      </c>
    </row>
    <row r="28" spans="1:10" x14ac:dyDescent="0.25">
      <c r="A28" s="1" t="s">
        <v>16</v>
      </c>
      <c r="B28" s="1" t="s">
        <v>38</v>
      </c>
      <c r="C28" s="11"/>
      <c r="D28" s="11"/>
      <c r="E28" s="11">
        <v>3926</v>
      </c>
      <c r="F28" s="11"/>
      <c r="G28" s="11">
        <f t="shared" si="0"/>
        <v>3926</v>
      </c>
      <c r="H28" s="17">
        <f t="shared" si="1"/>
        <v>2.2799999999999998</v>
      </c>
      <c r="I28" s="16">
        <f t="shared" si="2"/>
        <v>6.0000000000000001E-3</v>
      </c>
      <c r="J28" s="16">
        <f>ROUND(G28/6317-1,2)</f>
        <v>-0.38</v>
      </c>
    </row>
    <row r="29" spans="1:10" x14ac:dyDescent="0.25">
      <c r="A29" s="1" t="s">
        <v>16</v>
      </c>
      <c r="B29" s="1" t="s">
        <v>40</v>
      </c>
      <c r="C29" s="11"/>
      <c r="D29" s="11"/>
      <c r="E29" s="11">
        <v>73380</v>
      </c>
      <c r="F29" s="11"/>
      <c r="G29" s="11">
        <f t="shared" si="0"/>
        <v>73380</v>
      </c>
      <c r="H29" s="17">
        <f t="shared" si="1"/>
        <v>42.56</v>
      </c>
      <c r="I29" s="16">
        <f t="shared" si="2"/>
        <v>0.111</v>
      </c>
      <c r="J29" s="16">
        <f>ROUND(G29/62015-1,2)</f>
        <v>0.18</v>
      </c>
    </row>
    <row r="30" spans="1:10" x14ac:dyDescent="0.25">
      <c r="A30" s="1" t="s">
        <v>16</v>
      </c>
      <c r="B30" s="1" t="s">
        <v>42</v>
      </c>
      <c r="C30" s="11"/>
      <c r="D30" s="11"/>
      <c r="E30" s="11">
        <v>22691</v>
      </c>
      <c r="F30" s="11"/>
      <c r="G30" s="11">
        <f t="shared" si="0"/>
        <v>22691</v>
      </c>
      <c r="H30" s="17">
        <f t="shared" si="1"/>
        <v>13.16</v>
      </c>
      <c r="I30" s="16">
        <f t="shared" si="2"/>
        <v>3.4000000000000002E-2</v>
      </c>
      <c r="J30" s="16">
        <f>ROUND(G30/22870-1,2)</f>
        <v>-0.01</v>
      </c>
    </row>
    <row r="31" spans="1:10" x14ac:dyDescent="0.25">
      <c r="A31" s="1" t="s">
        <v>16</v>
      </c>
      <c r="B31" s="1" t="s">
        <v>44</v>
      </c>
      <c r="C31" s="11"/>
      <c r="D31" s="11"/>
      <c r="E31" s="11">
        <v>8704</v>
      </c>
      <c r="F31" s="11"/>
      <c r="G31" s="11">
        <f t="shared" si="0"/>
        <v>8704</v>
      </c>
      <c r="H31" s="17">
        <f t="shared" si="1"/>
        <v>5.05</v>
      </c>
      <c r="I31" s="16">
        <f t="shared" si="2"/>
        <v>1.2999999999999999E-2</v>
      </c>
      <c r="J31" s="16">
        <f>ROUND(G31/8286-1,2)</f>
        <v>0.05</v>
      </c>
    </row>
    <row r="32" spans="1:10" x14ac:dyDescent="0.25">
      <c r="A32" s="1" t="s">
        <v>16</v>
      </c>
      <c r="B32" s="1" t="s">
        <v>32</v>
      </c>
      <c r="C32" s="11"/>
      <c r="D32" s="11"/>
      <c r="E32" s="11"/>
      <c r="F32" s="11"/>
      <c r="G32" s="11">
        <f t="shared" si="0"/>
        <v>0</v>
      </c>
      <c r="H32" s="17">
        <f t="shared" si="1"/>
        <v>0</v>
      </c>
      <c r="I32" s="16">
        <f t="shared" si="2"/>
        <v>0</v>
      </c>
      <c r="J32" s="16">
        <f>ROUND(G32/600-1,2)</f>
        <v>-1</v>
      </c>
    </row>
    <row r="33" spans="1:10" x14ac:dyDescent="0.25">
      <c r="A33" s="1" t="s">
        <v>16</v>
      </c>
      <c r="B33" s="1" t="s">
        <v>121</v>
      </c>
      <c r="C33" s="11"/>
      <c r="D33" s="11"/>
      <c r="E33" s="11"/>
      <c r="F33" s="11"/>
      <c r="G33" s="11">
        <f t="shared" si="0"/>
        <v>0</v>
      </c>
      <c r="H33" s="17">
        <f t="shared" si="1"/>
        <v>0</v>
      </c>
      <c r="I33" s="16">
        <f t="shared" si="2"/>
        <v>0</v>
      </c>
      <c r="J33" s="16"/>
    </row>
    <row r="34" spans="1:10" x14ac:dyDescent="0.25">
      <c r="A34" s="1" t="s">
        <v>16</v>
      </c>
      <c r="B34" s="1" t="s">
        <v>36</v>
      </c>
      <c r="C34" s="11"/>
      <c r="D34" s="11"/>
      <c r="E34" s="11"/>
      <c r="F34" s="11"/>
      <c r="G34" s="11">
        <f t="shared" si="0"/>
        <v>0</v>
      </c>
      <c r="H34" s="17">
        <f t="shared" si="1"/>
        <v>0</v>
      </c>
      <c r="I34" s="16">
        <f t="shared" si="2"/>
        <v>0</v>
      </c>
      <c r="J34" s="16">
        <f>ROUND(G34/251-1,2)</f>
        <v>-1</v>
      </c>
    </row>
    <row r="35" spans="1:10" x14ac:dyDescent="0.25">
      <c r="A35" s="1" t="s">
        <v>16</v>
      </c>
      <c r="B35" s="1" t="s">
        <v>96</v>
      </c>
      <c r="C35" s="11"/>
      <c r="D35" s="11"/>
      <c r="E35" s="11"/>
      <c r="F35" s="11"/>
      <c r="G35" s="11">
        <f t="shared" si="0"/>
        <v>0</v>
      </c>
      <c r="H35" s="17">
        <f t="shared" si="1"/>
        <v>0</v>
      </c>
      <c r="I35" s="16">
        <f t="shared" si="2"/>
        <v>0</v>
      </c>
      <c r="J35" s="16"/>
    </row>
    <row r="36" spans="1:10" x14ac:dyDescent="0.25">
      <c r="A36" s="1" t="s">
        <v>16</v>
      </c>
      <c r="B36" s="1" t="s">
        <v>41</v>
      </c>
      <c r="C36" s="11"/>
      <c r="D36" s="11"/>
      <c r="E36" s="11"/>
      <c r="F36" s="11"/>
      <c r="G36" s="11">
        <f t="shared" si="0"/>
        <v>0</v>
      </c>
      <c r="H36" s="17">
        <f t="shared" si="1"/>
        <v>0</v>
      </c>
      <c r="I36" s="16">
        <f t="shared" si="2"/>
        <v>0</v>
      </c>
      <c r="J36" s="16"/>
    </row>
    <row r="37" spans="1:10" x14ac:dyDescent="0.25">
      <c r="A37" s="1" t="s">
        <v>45</v>
      </c>
      <c r="B37" s="1" t="s">
        <v>46</v>
      </c>
      <c r="C37" s="11">
        <v>127700</v>
      </c>
      <c r="D37" s="11"/>
      <c r="E37" s="11"/>
      <c r="F37" s="11">
        <v>460</v>
      </c>
      <c r="G37" s="11">
        <f t="shared" si="0"/>
        <v>128160</v>
      </c>
      <c r="H37" s="17">
        <f t="shared" si="1"/>
        <v>74.34</v>
      </c>
      <c r="I37" s="16">
        <f t="shared" si="2"/>
        <v>0.19400000000000001</v>
      </c>
      <c r="J37" s="16">
        <f>ROUND(G37/136620-1,2)</f>
        <v>-0.06</v>
      </c>
    </row>
    <row r="38" spans="1:10" x14ac:dyDescent="0.25">
      <c r="A38" s="1" t="s">
        <v>45</v>
      </c>
      <c r="B38" s="1" t="s">
        <v>47</v>
      </c>
      <c r="C38" s="11"/>
      <c r="D38" s="11"/>
      <c r="E38" s="11">
        <v>33071</v>
      </c>
      <c r="F38" s="11"/>
      <c r="G38" s="11">
        <f t="shared" si="0"/>
        <v>33071</v>
      </c>
      <c r="H38" s="17">
        <f t="shared" si="1"/>
        <v>19.18</v>
      </c>
      <c r="I38" s="16">
        <f t="shared" si="2"/>
        <v>0.05</v>
      </c>
      <c r="J38" s="16">
        <f>ROUND(G38/34013-1,2)</f>
        <v>-0.03</v>
      </c>
    </row>
    <row r="39" spans="1:10" x14ac:dyDescent="0.25">
      <c r="A39" s="1" t="s">
        <v>45</v>
      </c>
      <c r="B39" s="1" t="s">
        <v>48</v>
      </c>
      <c r="C39" s="11"/>
      <c r="D39" s="11"/>
      <c r="E39" s="11"/>
      <c r="F39" s="11"/>
      <c r="G39" s="11">
        <f t="shared" si="0"/>
        <v>0</v>
      </c>
      <c r="H39" s="17">
        <f t="shared" si="1"/>
        <v>0</v>
      </c>
      <c r="I39" s="16">
        <f t="shared" si="2"/>
        <v>0</v>
      </c>
      <c r="J39" s="16"/>
    </row>
    <row r="40" spans="1:10" x14ac:dyDescent="0.25">
      <c r="A40" s="1" t="s">
        <v>49</v>
      </c>
      <c r="B40" s="1" t="s">
        <v>50</v>
      </c>
      <c r="C40" s="11"/>
      <c r="D40" s="11"/>
      <c r="E40" s="11"/>
      <c r="F40" s="11"/>
      <c r="G40" s="11">
        <f t="shared" si="0"/>
        <v>0</v>
      </c>
      <c r="H40" s="17">
        <f t="shared" si="1"/>
        <v>0</v>
      </c>
      <c r="I40" s="16">
        <f t="shared" si="2"/>
        <v>0</v>
      </c>
      <c r="J40" s="16"/>
    </row>
    <row r="41" spans="1:10" x14ac:dyDescent="0.25">
      <c r="A41" s="1" t="s">
        <v>49</v>
      </c>
      <c r="B41" s="1" t="s">
        <v>51</v>
      </c>
      <c r="C41" s="11"/>
      <c r="D41" s="11"/>
      <c r="E41" s="11"/>
      <c r="F41" s="11"/>
      <c r="G41" s="11">
        <f t="shared" si="0"/>
        <v>0</v>
      </c>
      <c r="H41" s="17">
        <f t="shared" si="1"/>
        <v>0</v>
      </c>
      <c r="I41" s="16">
        <f t="shared" si="2"/>
        <v>0</v>
      </c>
      <c r="J41" s="16"/>
    </row>
    <row r="42" spans="1:10" x14ac:dyDescent="0.25">
      <c r="A42" s="1" t="s">
        <v>49</v>
      </c>
      <c r="B42" s="1" t="s">
        <v>52</v>
      </c>
      <c r="C42" s="11"/>
      <c r="D42" s="11"/>
      <c r="E42" s="11"/>
      <c r="F42" s="11"/>
      <c r="G42" s="11">
        <f t="shared" si="0"/>
        <v>0</v>
      </c>
      <c r="H42" s="17">
        <f t="shared" si="1"/>
        <v>0</v>
      </c>
      <c r="I42" s="16">
        <f t="shared" si="2"/>
        <v>0</v>
      </c>
      <c r="J42" s="16"/>
    </row>
    <row r="43" spans="1:10" x14ac:dyDescent="0.25">
      <c r="A43" s="26" t="s">
        <v>12</v>
      </c>
      <c r="B43" s="26"/>
      <c r="C43" s="12">
        <f t="shared" ref="C43:H43" si="3">SUM(C8:C42)</f>
        <v>331840</v>
      </c>
      <c r="D43" s="12">
        <f t="shared" si="3"/>
        <v>1700</v>
      </c>
      <c r="E43" s="12">
        <f t="shared" si="3"/>
        <v>327103</v>
      </c>
      <c r="F43" s="12">
        <f t="shared" si="3"/>
        <v>460</v>
      </c>
      <c r="G43" s="12">
        <f t="shared" si="3"/>
        <v>661103</v>
      </c>
      <c r="H43" s="15">
        <f t="shared" si="3"/>
        <v>383.47000000000008</v>
      </c>
      <c r="I43" s="18"/>
      <c r="J43" s="18"/>
    </row>
    <row r="44" spans="1:10" x14ac:dyDescent="0.25">
      <c r="A44" s="26" t="s">
        <v>14</v>
      </c>
      <c r="B44" s="26"/>
      <c r="C44" s="13">
        <f>ROUND(C43/G43,2)</f>
        <v>0.5</v>
      </c>
      <c r="D44" s="13">
        <f>ROUND(D43/G43,2)</f>
        <v>0</v>
      </c>
      <c r="E44" s="13">
        <f>ROUND(E43/G43,2)</f>
        <v>0.49</v>
      </c>
      <c r="F44" s="13">
        <f>ROUND(F43/G43,2)</f>
        <v>0</v>
      </c>
      <c r="G44" s="14"/>
      <c r="H44" s="14"/>
      <c r="I44" s="18"/>
      <c r="J44" s="18"/>
    </row>
    <row r="45" spans="1:10" x14ac:dyDescent="0.25">
      <c r="A45" s="2" t="s">
        <v>53</v>
      </c>
      <c r="B45" s="2"/>
      <c r="C45" s="14"/>
      <c r="D45" s="14"/>
      <c r="E45" s="14"/>
      <c r="F45" s="14"/>
      <c r="G45" s="14"/>
      <c r="H45" s="14"/>
      <c r="I45" s="18"/>
      <c r="J45" s="18"/>
    </row>
    <row r="46" spans="1:10" x14ac:dyDescent="0.25">
      <c r="C46" s="9"/>
      <c r="D46" s="9"/>
      <c r="E46" s="9"/>
      <c r="F46" s="9"/>
      <c r="G46" s="9"/>
      <c r="H46" s="9"/>
      <c r="I46" s="10"/>
      <c r="J46" s="10"/>
    </row>
    <row r="47" spans="1:10" x14ac:dyDescent="0.25">
      <c r="C47" s="9"/>
      <c r="D47" s="9"/>
      <c r="E47" s="9"/>
      <c r="F47" s="9"/>
      <c r="G47" s="9"/>
      <c r="H47" s="9"/>
      <c r="I47" s="10"/>
      <c r="J47" s="10"/>
    </row>
    <row r="48" spans="1:10" x14ac:dyDescent="0.25">
      <c r="C48" s="9"/>
      <c r="D48" s="9"/>
      <c r="E48" s="9"/>
      <c r="F48" s="9"/>
      <c r="G48" s="9"/>
      <c r="H48" s="9"/>
      <c r="I48" s="10"/>
      <c r="J48" s="10"/>
    </row>
    <row r="49" spans="1:10" x14ac:dyDescent="0.25">
      <c r="A49" s="26" t="s">
        <v>54</v>
      </c>
      <c r="B49" s="26"/>
      <c r="C49" s="12" t="s">
        <v>8</v>
      </c>
      <c r="D49" s="12" t="s">
        <v>9</v>
      </c>
      <c r="E49" s="12" t="s">
        <v>10</v>
      </c>
      <c r="F49" s="12" t="s">
        <v>11</v>
      </c>
      <c r="G49" s="12" t="s">
        <v>12</v>
      </c>
      <c r="H49" s="15" t="s">
        <v>13</v>
      </c>
      <c r="I49" s="18"/>
      <c r="J49" s="18"/>
    </row>
    <row r="50" spans="1:10" x14ac:dyDescent="0.25">
      <c r="A50" s="21" t="s">
        <v>55</v>
      </c>
      <c r="B50" s="21"/>
      <c r="C50" s="11">
        <v>204140</v>
      </c>
      <c r="D50" s="11">
        <v>1700</v>
      </c>
      <c r="E50" s="11">
        <v>294032</v>
      </c>
      <c r="F50" s="11">
        <v>0</v>
      </c>
      <c r="G50" s="11">
        <f>SUM(C50:F50)</f>
        <v>499872</v>
      </c>
      <c r="H50" s="17">
        <f>ROUND(G50/1724,2)</f>
        <v>289.95</v>
      </c>
      <c r="I50" s="10"/>
      <c r="J50" s="10"/>
    </row>
    <row r="51" spans="1:10" x14ac:dyDescent="0.25">
      <c r="A51" s="21" t="s">
        <v>56</v>
      </c>
      <c r="B51" s="21"/>
      <c r="C51" s="11">
        <v>127700</v>
      </c>
      <c r="D51" s="11">
        <v>0</v>
      </c>
      <c r="E51" s="11">
        <v>33071</v>
      </c>
      <c r="F51" s="11">
        <v>460</v>
      </c>
      <c r="G51" s="11">
        <f>SUM(C51:F51)</f>
        <v>161231</v>
      </c>
      <c r="H51" s="17">
        <f>ROUND(G51/1724,2)</f>
        <v>93.52</v>
      </c>
      <c r="I51" s="10"/>
      <c r="J51" s="10"/>
    </row>
    <row r="52" spans="1:10" x14ac:dyDescent="0.25">
      <c r="A52" s="21" t="s">
        <v>57</v>
      </c>
      <c r="B52" s="21"/>
      <c r="C52" s="11">
        <v>0</v>
      </c>
      <c r="D52" s="11">
        <v>0</v>
      </c>
      <c r="E52" s="11">
        <v>0</v>
      </c>
      <c r="F52" s="11">
        <v>0</v>
      </c>
      <c r="G52" s="11">
        <f>SUM(C52:F52)</f>
        <v>0</v>
      </c>
      <c r="H52" s="17">
        <f>ROUND(G52/1724,2)</f>
        <v>0</v>
      </c>
      <c r="I52" s="10"/>
      <c r="J52" s="10"/>
    </row>
    <row r="53" spans="1:10" x14ac:dyDescent="0.25">
      <c r="C53" s="9"/>
      <c r="D53" s="9"/>
      <c r="E53" s="9"/>
      <c r="F53" s="9"/>
      <c r="G53" s="9"/>
      <c r="H53" s="9"/>
      <c r="I53" s="10"/>
      <c r="J53" s="10"/>
    </row>
    <row r="54" spans="1:10" x14ac:dyDescent="0.25">
      <c r="C54" s="9"/>
      <c r="D54" s="9"/>
      <c r="E54" s="9"/>
      <c r="F54" s="9"/>
      <c r="G54" s="9"/>
      <c r="H54" s="9"/>
      <c r="I54" s="10"/>
      <c r="J54" s="10"/>
    </row>
    <row r="55" spans="1:10" x14ac:dyDescent="0.25">
      <c r="C55" s="9"/>
      <c r="D55" s="9"/>
      <c r="E55" s="9"/>
      <c r="F55" s="9"/>
      <c r="G55" s="9"/>
      <c r="H55" s="9"/>
      <c r="I55" s="10"/>
      <c r="J55" s="10"/>
    </row>
    <row r="56" spans="1:10" x14ac:dyDescent="0.25">
      <c r="C56" s="9"/>
      <c r="D56" s="9"/>
      <c r="E56" s="9"/>
      <c r="F56" s="9"/>
      <c r="G56" s="9"/>
      <c r="H56" s="9"/>
      <c r="I56" s="10"/>
      <c r="J56" s="10"/>
    </row>
    <row r="57" spans="1:10" x14ac:dyDescent="0.25">
      <c r="A57" s="26" t="s">
        <v>58</v>
      </c>
      <c r="B57" s="26"/>
      <c r="C57" s="15" t="s">
        <v>2</v>
      </c>
      <c r="D57" s="15">
        <v>2024</v>
      </c>
      <c r="E57" s="15" t="s">
        <v>60</v>
      </c>
      <c r="F57" s="14"/>
      <c r="G57" s="15" t="s">
        <v>61</v>
      </c>
      <c r="H57" s="15" t="s">
        <v>2</v>
      </c>
      <c r="I57" s="13" t="s">
        <v>62</v>
      </c>
      <c r="J57" s="13" t="s">
        <v>60</v>
      </c>
    </row>
    <row r="58" spans="1:10" x14ac:dyDescent="0.25">
      <c r="A58" s="21" t="s">
        <v>59</v>
      </c>
      <c r="B58" s="21"/>
      <c r="C58" s="16">
        <f>ROUND(0.7557, 4)</f>
        <v>0.75570000000000004</v>
      </c>
      <c r="D58" s="16">
        <f>ROUND(0.745, 4)</f>
        <v>0.745</v>
      </c>
      <c r="E58" s="16">
        <f>ROUND(0.7856, 4)</f>
        <v>0.78559999999999997</v>
      </c>
      <c r="F58" s="9"/>
      <c r="G58" s="15" t="s">
        <v>63</v>
      </c>
      <c r="H58" s="27" t="s">
        <v>64</v>
      </c>
      <c r="I58" s="24" t="s">
        <v>65</v>
      </c>
      <c r="J58" s="24" t="s">
        <v>66</v>
      </c>
    </row>
    <row r="59" spans="1:10" x14ac:dyDescent="0.25">
      <c r="A59" s="21" t="s">
        <v>67</v>
      </c>
      <c r="B59" s="21"/>
      <c r="C59" s="16">
        <f>ROUND(0.7557, 4)</f>
        <v>0.75570000000000004</v>
      </c>
      <c r="D59" s="16">
        <f>ROUND(0.71, 4)</f>
        <v>0.71</v>
      </c>
      <c r="E59" s="16">
        <f>ROUND(0.7702, 4)</f>
        <v>0.7702</v>
      </c>
      <c r="F59" s="9"/>
      <c r="G59" s="15" t="s">
        <v>68</v>
      </c>
      <c r="H59" s="28"/>
      <c r="I59" s="25"/>
      <c r="J59" s="25"/>
    </row>
    <row r="60" spans="1:10" x14ac:dyDescent="0.25">
      <c r="C60" s="9"/>
      <c r="D60" s="9"/>
      <c r="E60" s="9"/>
      <c r="F60" s="9"/>
      <c r="G60" s="9"/>
      <c r="H60" s="9"/>
      <c r="I60" s="10"/>
      <c r="J60" s="10"/>
    </row>
    <row r="61" spans="1:10" x14ac:dyDescent="0.25">
      <c r="C61" s="9"/>
      <c r="D61" s="9"/>
      <c r="E61" s="9"/>
      <c r="F61" s="9"/>
      <c r="G61" s="9"/>
      <c r="H61" s="9"/>
      <c r="I61" s="10"/>
      <c r="J61" s="10"/>
    </row>
    <row r="62" spans="1:10" x14ac:dyDescent="0.25">
      <c r="C62" s="9"/>
      <c r="D62" s="9"/>
      <c r="E62" s="9"/>
      <c r="F62" s="9"/>
      <c r="G62" s="9"/>
      <c r="H62" s="9"/>
      <c r="I62" s="10"/>
      <c r="J62" s="10"/>
    </row>
    <row r="63" spans="1:10" x14ac:dyDescent="0.25">
      <c r="A63" s="26" t="s">
        <v>69</v>
      </c>
      <c r="B63" s="26"/>
      <c r="C63" s="15" t="s">
        <v>2</v>
      </c>
      <c r="D63" s="15" t="s">
        <v>234</v>
      </c>
      <c r="E63" s="15" t="s">
        <v>71</v>
      </c>
      <c r="F63" s="15" t="s">
        <v>72</v>
      </c>
      <c r="G63" s="15" t="s">
        <v>73</v>
      </c>
      <c r="H63" s="14"/>
      <c r="I63" s="18"/>
      <c r="J63" s="18"/>
    </row>
    <row r="64" spans="1:10" x14ac:dyDescent="0.25">
      <c r="A64" s="21" t="s">
        <v>74</v>
      </c>
      <c r="B64" s="21"/>
      <c r="C64" s="17">
        <v>74.34</v>
      </c>
      <c r="D64" s="17">
        <v>78.739999999999995</v>
      </c>
      <c r="E64" s="17">
        <v>96.15</v>
      </c>
      <c r="F64" s="17">
        <v>57.94</v>
      </c>
      <c r="G64" s="17">
        <f>12/12*C64</f>
        <v>74.34</v>
      </c>
      <c r="H64" s="9"/>
      <c r="I64" s="10"/>
      <c r="J64" s="10"/>
    </row>
    <row r="65" spans="1:10" x14ac:dyDescent="0.25">
      <c r="A65" s="21" t="s">
        <v>75</v>
      </c>
      <c r="B65" s="21"/>
      <c r="C65" s="17">
        <v>26.7</v>
      </c>
      <c r="D65" s="17">
        <v>46.93</v>
      </c>
      <c r="E65" s="17">
        <v>62.28</v>
      </c>
      <c r="F65" s="17">
        <v>66.599999999999994</v>
      </c>
      <c r="G65" s="17">
        <f>12/12*C65</f>
        <v>26.7</v>
      </c>
      <c r="H65" s="9"/>
      <c r="I65" s="10"/>
      <c r="J65" s="10"/>
    </row>
    <row r="66" spans="1:10" x14ac:dyDescent="0.25">
      <c r="A66" s="21" t="s">
        <v>76</v>
      </c>
      <c r="B66" s="21"/>
      <c r="C66" s="17">
        <v>289.95</v>
      </c>
      <c r="D66" s="17">
        <v>317.3</v>
      </c>
      <c r="E66" s="17">
        <v>300.02</v>
      </c>
      <c r="F66" s="17">
        <v>295.08</v>
      </c>
      <c r="G66" s="17">
        <f>12/12*C66</f>
        <v>289.95</v>
      </c>
      <c r="H66" s="9"/>
      <c r="I66" s="10"/>
      <c r="J66" s="10"/>
    </row>
    <row r="67" spans="1:10" x14ac:dyDescent="0.25">
      <c r="A67" s="21" t="s">
        <v>77</v>
      </c>
      <c r="B67" s="21"/>
      <c r="C67" s="17">
        <v>93.52</v>
      </c>
      <c r="D67" s="17">
        <v>103.54</v>
      </c>
      <c r="E67" s="17">
        <v>120.96</v>
      </c>
      <c r="F67" s="17">
        <v>83.12</v>
      </c>
      <c r="G67" s="17">
        <f>12/12*C67</f>
        <v>93.52</v>
      </c>
      <c r="H67" s="9"/>
      <c r="I67" s="10"/>
      <c r="J67" s="10"/>
    </row>
    <row r="68" spans="1:10" x14ac:dyDescent="0.25">
      <c r="C68" s="9"/>
      <c r="D68" s="9"/>
      <c r="E68" s="9"/>
      <c r="F68" s="9"/>
      <c r="G68" s="9"/>
      <c r="H68" s="9"/>
      <c r="I68" s="10"/>
      <c r="J68" s="10"/>
    </row>
    <row r="69" spans="1:10" x14ac:dyDescent="0.25">
      <c r="C69" s="9"/>
      <c r="D69" s="9"/>
      <c r="E69" s="9"/>
      <c r="F69" s="9"/>
      <c r="G69" s="9"/>
      <c r="H69" s="9"/>
      <c r="I69" s="10"/>
      <c r="J69" s="10"/>
    </row>
    <row r="70" spans="1:10" x14ac:dyDescent="0.25">
      <c r="A70" s="22" t="s">
        <v>61</v>
      </c>
      <c r="B70" s="23"/>
      <c r="C70" s="9"/>
      <c r="D70" s="9"/>
      <c r="E70" s="9"/>
      <c r="F70" s="9"/>
      <c r="G70" s="9"/>
      <c r="H70" s="9"/>
      <c r="I70" s="10"/>
      <c r="J70" s="10"/>
    </row>
    <row r="71" spans="1:10" x14ac:dyDescent="0.25">
      <c r="A71" s="3" t="s">
        <v>78</v>
      </c>
      <c r="B71" s="1" t="s">
        <v>235</v>
      </c>
      <c r="C71" s="9"/>
      <c r="D71" s="9"/>
      <c r="E71" s="9"/>
      <c r="F71" s="9"/>
      <c r="G71" s="9"/>
      <c r="H71" s="9"/>
      <c r="I71" s="10"/>
      <c r="J71" s="10"/>
    </row>
    <row r="72" spans="1:10" x14ac:dyDescent="0.25">
      <c r="A72" s="3" t="s">
        <v>71</v>
      </c>
      <c r="B72" s="1" t="s">
        <v>80</v>
      </c>
      <c r="C72" s="9"/>
      <c r="D72" s="9"/>
      <c r="E72" s="9"/>
      <c r="F72" s="9"/>
      <c r="G72" s="9"/>
      <c r="H72" s="9"/>
      <c r="I72" s="10"/>
      <c r="J72" s="10"/>
    </row>
    <row r="73" spans="1:10" x14ac:dyDescent="0.25">
      <c r="A73" s="3" t="s">
        <v>72</v>
      </c>
      <c r="B73" s="1" t="s">
        <v>81</v>
      </c>
      <c r="C73" s="9"/>
      <c r="D73" s="9"/>
      <c r="E73" s="9"/>
      <c r="F73" s="9"/>
      <c r="G73" s="9"/>
      <c r="H73" s="9"/>
      <c r="I73" s="10"/>
      <c r="J73" s="10"/>
    </row>
    <row r="74" spans="1:10" x14ac:dyDescent="0.25">
      <c r="A74" s="3" t="s">
        <v>73</v>
      </c>
      <c r="B74" s="1" t="s">
        <v>82</v>
      </c>
      <c r="C74" s="9"/>
      <c r="D74" s="9"/>
      <c r="E74" s="9"/>
      <c r="F74" s="9"/>
      <c r="G74" s="9"/>
      <c r="H74" s="9"/>
      <c r="I74" s="10"/>
      <c r="J74" s="10"/>
    </row>
    <row r="75" spans="1:10" x14ac:dyDescent="0.25">
      <c r="C75" s="9"/>
      <c r="D75" s="9"/>
      <c r="E75" s="9"/>
      <c r="F75" s="9"/>
      <c r="G75" s="9"/>
      <c r="H75" s="9"/>
      <c r="I75" s="10"/>
      <c r="J75" s="10"/>
    </row>
    <row r="76" spans="1:10" x14ac:dyDescent="0.25">
      <c r="C76" s="9"/>
      <c r="D76" s="9"/>
      <c r="E76" s="9"/>
      <c r="F76" s="9"/>
      <c r="G76" s="9"/>
      <c r="H76" s="9"/>
      <c r="I76" s="10"/>
      <c r="J76" s="10"/>
    </row>
  </sheetData>
  <mergeCells count="19">
    <mergeCell ref="C7:G7"/>
    <mergeCell ref="A43:B43"/>
    <mergeCell ref="A44:B44"/>
    <mergeCell ref="A49:B49"/>
    <mergeCell ref="A50:B50"/>
    <mergeCell ref="J58:J59"/>
    <mergeCell ref="A59:B59"/>
    <mergeCell ref="A63:B63"/>
    <mergeCell ref="A64:B64"/>
    <mergeCell ref="A51:B51"/>
    <mergeCell ref="A52:B52"/>
    <mergeCell ref="A57:B57"/>
    <mergeCell ref="A58:B58"/>
    <mergeCell ref="H58:H59"/>
    <mergeCell ref="A65:B65"/>
    <mergeCell ref="A66:B66"/>
    <mergeCell ref="A67:B67"/>
    <mergeCell ref="A70:B70"/>
    <mergeCell ref="I58:I59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J76"/>
  <sheetViews>
    <sheetView workbookViewId="0">
      <selection activeCell="H5" sqref="H5"/>
    </sheetView>
  </sheetViews>
  <sheetFormatPr defaultRowHeight="15" x14ac:dyDescent="0.25"/>
  <cols>
    <col min="1" max="1" width="28.42578125" bestFit="1" customWidth="1"/>
    <col min="2" max="2" width="59.5703125" bestFit="1" customWidth="1"/>
    <col min="3" max="3" width="12.7109375" bestFit="1" customWidth="1"/>
    <col min="4" max="4" width="24.7109375" bestFit="1" customWidth="1"/>
    <col min="5" max="5" width="13.85546875" bestFit="1" customWidth="1"/>
    <col min="6" max="6" width="8.5703125" bestFit="1" customWidth="1"/>
    <col min="7" max="7" width="47.7109375" bestFit="1" customWidth="1"/>
    <col min="8" max="9" width="16.7109375" bestFit="1" customWidth="1"/>
    <col min="10" max="10" width="24.42578125" bestFit="1" customWidth="1"/>
  </cols>
  <sheetData>
    <row r="2" spans="1:10" ht="18.75" x14ac:dyDescent="0.3">
      <c r="A2" s="3" t="s">
        <v>0</v>
      </c>
      <c r="B2" s="4" t="s">
        <v>236</v>
      </c>
    </row>
    <row r="3" spans="1:10" x14ac:dyDescent="0.25">
      <c r="A3" s="3" t="s">
        <v>2</v>
      </c>
      <c r="B3" s="1" t="s">
        <v>3</v>
      </c>
    </row>
    <row r="4" spans="1:10" x14ac:dyDescent="0.25">
      <c r="A4" s="3" t="s">
        <v>4</v>
      </c>
      <c r="B4" s="20">
        <v>5067</v>
      </c>
    </row>
    <row r="7" spans="1:10" x14ac:dyDescent="0.25">
      <c r="C7" s="22" t="s">
        <v>5</v>
      </c>
      <c r="D7" s="21"/>
      <c r="E7" s="21"/>
      <c r="F7" s="21"/>
      <c r="G7" s="21"/>
    </row>
    <row r="8" spans="1:10" x14ac:dyDescent="0.25">
      <c r="A8" s="3" t="s">
        <v>6</v>
      </c>
      <c r="B8" s="3" t="s">
        <v>7</v>
      </c>
      <c r="C8" s="15" t="s">
        <v>8</v>
      </c>
      <c r="D8" s="15" t="s">
        <v>9</v>
      </c>
      <c r="E8" s="15" t="s">
        <v>10</v>
      </c>
      <c r="F8" s="15" t="s">
        <v>11</v>
      </c>
      <c r="G8" s="15" t="s">
        <v>12</v>
      </c>
      <c r="H8" s="15" t="s">
        <v>13</v>
      </c>
      <c r="I8" s="15" t="s">
        <v>14</v>
      </c>
      <c r="J8" s="15" t="s">
        <v>15</v>
      </c>
    </row>
    <row r="9" spans="1:10" x14ac:dyDescent="0.25">
      <c r="A9" s="1" t="s">
        <v>16</v>
      </c>
      <c r="B9" s="1" t="s">
        <v>19</v>
      </c>
      <c r="C9" s="11">
        <v>158870</v>
      </c>
      <c r="D9" s="11"/>
      <c r="E9" s="11"/>
      <c r="F9" s="11"/>
      <c r="G9" s="11">
        <f t="shared" ref="G9:G44" si="0">SUM(C9:F9)</f>
        <v>158870</v>
      </c>
      <c r="H9" s="17">
        <f t="shared" ref="H9:H44" si="1">ROUND(G9/5067,2)</f>
        <v>31.35</v>
      </c>
      <c r="I9" s="16">
        <f t="shared" ref="I9:I44" si="2">ROUND(G9/$G$45,3)</f>
        <v>8.5000000000000006E-2</v>
      </c>
      <c r="J9" s="16">
        <f>ROUND(G9/150320-1,2)</f>
        <v>0.06</v>
      </c>
    </row>
    <row r="10" spans="1:10" x14ac:dyDescent="0.25">
      <c r="A10" s="1" t="s">
        <v>16</v>
      </c>
      <c r="B10" s="1" t="s">
        <v>20</v>
      </c>
      <c r="C10" s="11">
        <v>179920</v>
      </c>
      <c r="D10" s="11"/>
      <c r="E10" s="11"/>
      <c r="F10" s="11"/>
      <c r="G10" s="11">
        <f t="shared" si="0"/>
        <v>179920</v>
      </c>
      <c r="H10" s="17">
        <f t="shared" si="1"/>
        <v>35.51</v>
      </c>
      <c r="I10" s="16">
        <f t="shared" si="2"/>
        <v>9.6000000000000002E-2</v>
      </c>
      <c r="J10" s="16">
        <f>ROUND(G10/178000-1,2)</f>
        <v>0.01</v>
      </c>
    </row>
    <row r="11" spans="1:10" x14ac:dyDescent="0.25">
      <c r="A11" s="1" t="s">
        <v>16</v>
      </c>
      <c r="B11" s="1" t="s">
        <v>87</v>
      </c>
      <c r="C11" s="11"/>
      <c r="D11" s="11"/>
      <c r="E11" s="11">
        <v>103</v>
      </c>
      <c r="F11" s="11"/>
      <c r="G11" s="11">
        <f t="shared" si="0"/>
        <v>103</v>
      </c>
      <c r="H11" s="17">
        <f t="shared" si="1"/>
        <v>0.02</v>
      </c>
      <c r="I11" s="16">
        <f t="shared" si="2"/>
        <v>0</v>
      </c>
      <c r="J11" s="16">
        <f>ROUND(G11/97-1,2)</f>
        <v>0.06</v>
      </c>
    </row>
    <row r="12" spans="1:10" x14ac:dyDescent="0.25">
      <c r="A12" s="1" t="s">
        <v>16</v>
      </c>
      <c r="B12" s="1" t="s">
        <v>21</v>
      </c>
      <c r="C12" s="11"/>
      <c r="D12" s="11"/>
      <c r="E12" s="11">
        <v>408</v>
      </c>
      <c r="F12" s="11"/>
      <c r="G12" s="11">
        <f t="shared" si="0"/>
        <v>408</v>
      </c>
      <c r="H12" s="17">
        <f t="shared" si="1"/>
        <v>0.08</v>
      </c>
      <c r="I12" s="16">
        <f t="shared" si="2"/>
        <v>0</v>
      </c>
      <c r="J12" s="16">
        <f>ROUND(G12/254-1,2)</f>
        <v>0.61</v>
      </c>
    </row>
    <row r="13" spans="1:10" x14ac:dyDescent="0.25">
      <c r="A13" s="1" t="s">
        <v>16</v>
      </c>
      <c r="B13" s="1" t="s">
        <v>23</v>
      </c>
      <c r="C13" s="11"/>
      <c r="D13" s="11"/>
      <c r="E13" s="11">
        <v>96080</v>
      </c>
      <c r="F13" s="11"/>
      <c r="G13" s="11">
        <f t="shared" si="0"/>
        <v>96080</v>
      </c>
      <c r="H13" s="17">
        <f t="shared" si="1"/>
        <v>18.96</v>
      </c>
      <c r="I13" s="16">
        <f t="shared" si="2"/>
        <v>5.0999999999999997E-2</v>
      </c>
      <c r="J13" s="16">
        <f>ROUND(G13/86920-1,2)</f>
        <v>0.11</v>
      </c>
    </row>
    <row r="14" spans="1:10" x14ac:dyDescent="0.25">
      <c r="A14" s="1" t="s">
        <v>16</v>
      </c>
      <c r="B14" s="1" t="s">
        <v>24</v>
      </c>
      <c r="C14" s="11">
        <v>205760</v>
      </c>
      <c r="D14" s="11"/>
      <c r="E14" s="11">
        <v>25660</v>
      </c>
      <c r="F14" s="11"/>
      <c r="G14" s="11">
        <f t="shared" si="0"/>
        <v>231420</v>
      </c>
      <c r="H14" s="17">
        <f t="shared" si="1"/>
        <v>45.67</v>
      </c>
      <c r="I14" s="16">
        <f t="shared" si="2"/>
        <v>0.124</v>
      </c>
      <c r="J14" s="16">
        <f>ROUND(G14/239530-1,2)</f>
        <v>-0.03</v>
      </c>
    </row>
    <row r="15" spans="1:10" x14ac:dyDescent="0.25">
      <c r="A15" s="1" t="s">
        <v>16</v>
      </c>
      <c r="B15" s="1" t="s">
        <v>25</v>
      </c>
      <c r="C15" s="11"/>
      <c r="D15" s="11"/>
      <c r="E15" s="11">
        <v>5620</v>
      </c>
      <c r="F15" s="11"/>
      <c r="G15" s="11">
        <f t="shared" si="0"/>
        <v>5620</v>
      </c>
      <c r="H15" s="17">
        <f t="shared" si="1"/>
        <v>1.1100000000000001</v>
      </c>
      <c r="I15" s="16">
        <f t="shared" si="2"/>
        <v>3.0000000000000001E-3</v>
      </c>
      <c r="J15" s="16">
        <f>ROUND(G15/3965-1,2)</f>
        <v>0.42</v>
      </c>
    </row>
    <row r="16" spans="1:10" x14ac:dyDescent="0.25">
      <c r="A16" s="1" t="s">
        <v>16</v>
      </c>
      <c r="B16" s="1" t="s">
        <v>26</v>
      </c>
      <c r="C16" s="11">
        <v>328870</v>
      </c>
      <c r="D16" s="11"/>
      <c r="E16" s="11"/>
      <c r="F16" s="11">
        <v>250</v>
      </c>
      <c r="G16" s="11">
        <f t="shared" si="0"/>
        <v>329120</v>
      </c>
      <c r="H16" s="17">
        <f t="shared" si="1"/>
        <v>64.95</v>
      </c>
      <c r="I16" s="16">
        <f t="shared" si="2"/>
        <v>0.17599999999999999</v>
      </c>
      <c r="J16" s="16">
        <f>ROUND(G16/325690-1,2)</f>
        <v>0.01</v>
      </c>
    </row>
    <row r="17" spans="1:10" x14ac:dyDescent="0.25">
      <c r="A17" s="1" t="s">
        <v>16</v>
      </c>
      <c r="B17" s="1" t="s">
        <v>27</v>
      </c>
      <c r="C17" s="11"/>
      <c r="D17" s="11"/>
      <c r="E17" s="11">
        <v>1645</v>
      </c>
      <c r="F17" s="11"/>
      <c r="G17" s="11">
        <f t="shared" si="0"/>
        <v>1645</v>
      </c>
      <c r="H17" s="17">
        <f t="shared" si="1"/>
        <v>0.32</v>
      </c>
      <c r="I17" s="16">
        <f t="shared" si="2"/>
        <v>1E-3</v>
      </c>
      <c r="J17" s="16">
        <f>ROUND(G17/1273-1,2)</f>
        <v>0.28999999999999998</v>
      </c>
    </row>
    <row r="18" spans="1:10" x14ac:dyDescent="0.25">
      <c r="A18" s="1" t="s">
        <v>16</v>
      </c>
      <c r="B18" s="1" t="s">
        <v>28</v>
      </c>
      <c r="C18" s="11"/>
      <c r="D18" s="11"/>
      <c r="E18" s="11">
        <v>889</v>
      </c>
      <c r="F18" s="11"/>
      <c r="G18" s="11">
        <f t="shared" si="0"/>
        <v>889</v>
      </c>
      <c r="H18" s="17">
        <f t="shared" si="1"/>
        <v>0.18</v>
      </c>
      <c r="I18" s="16">
        <f t="shared" si="2"/>
        <v>0</v>
      </c>
      <c r="J18" s="16">
        <f>ROUND(G18/1168-1,2)</f>
        <v>-0.24</v>
      </c>
    </row>
    <row r="19" spans="1:10" x14ac:dyDescent="0.25">
      <c r="A19" s="1" t="s">
        <v>16</v>
      </c>
      <c r="B19" s="1" t="s">
        <v>33</v>
      </c>
      <c r="C19" s="11"/>
      <c r="D19" s="11"/>
      <c r="E19" s="11">
        <v>2013</v>
      </c>
      <c r="F19" s="11"/>
      <c r="G19" s="11">
        <f t="shared" si="0"/>
        <v>2013</v>
      </c>
      <c r="H19" s="17">
        <f t="shared" si="1"/>
        <v>0.4</v>
      </c>
      <c r="I19" s="16">
        <f t="shared" si="2"/>
        <v>1E-3</v>
      </c>
      <c r="J19" s="16">
        <f>ROUND(G19/2075-1,2)</f>
        <v>-0.03</v>
      </c>
    </row>
    <row r="20" spans="1:10" x14ac:dyDescent="0.25">
      <c r="A20" s="1" t="s">
        <v>16</v>
      </c>
      <c r="B20" s="1" t="s">
        <v>34</v>
      </c>
      <c r="C20" s="11"/>
      <c r="D20" s="11">
        <v>248</v>
      </c>
      <c r="E20" s="11">
        <v>490</v>
      </c>
      <c r="F20" s="11"/>
      <c r="G20" s="11">
        <f t="shared" si="0"/>
        <v>738</v>
      </c>
      <c r="H20" s="17">
        <f t="shared" si="1"/>
        <v>0.15</v>
      </c>
      <c r="I20" s="16">
        <f t="shared" si="2"/>
        <v>0</v>
      </c>
      <c r="J20" s="16">
        <f>ROUND(G20/731-1,2)</f>
        <v>0.01</v>
      </c>
    </row>
    <row r="21" spans="1:10" x14ac:dyDescent="0.25">
      <c r="A21" s="1" t="s">
        <v>16</v>
      </c>
      <c r="B21" s="1" t="s">
        <v>39</v>
      </c>
      <c r="C21" s="11"/>
      <c r="D21" s="11"/>
      <c r="E21" s="11">
        <v>1170</v>
      </c>
      <c r="F21" s="11"/>
      <c r="G21" s="11">
        <f t="shared" si="0"/>
        <v>1170</v>
      </c>
      <c r="H21" s="17">
        <f t="shared" si="1"/>
        <v>0.23</v>
      </c>
      <c r="I21" s="16">
        <f t="shared" si="2"/>
        <v>1E-3</v>
      </c>
      <c r="J21" s="16">
        <f>ROUND(G21/3121-1,2)</f>
        <v>-0.63</v>
      </c>
    </row>
    <row r="22" spans="1:10" x14ac:dyDescent="0.25">
      <c r="A22" s="1" t="s">
        <v>16</v>
      </c>
      <c r="B22" s="1" t="s">
        <v>40</v>
      </c>
      <c r="C22" s="11"/>
      <c r="D22" s="11"/>
      <c r="E22" s="11">
        <v>85880</v>
      </c>
      <c r="F22" s="11"/>
      <c r="G22" s="11">
        <f t="shared" si="0"/>
        <v>85880</v>
      </c>
      <c r="H22" s="17">
        <f t="shared" si="1"/>
        <v>16.95</v>
      </c>
      <c r="I22" s="16">
        <f t="shared" si="2"/>
        <v>4.5999999999999999E-2</v>
      </c>
      <c r="J22" s="16">
        <f>ROUND(G22/85780-1,2)</f>
        <v>0</v>
      </c>
    </row>
    <row r="23" spans="1:10" x14ac:dyDescent="0.25">
      <c r="A23" s="1" t="s">
        <v>16</v>
      </c>
      <c r="B23" s="1" t="s">
        <v>42</v>
      </c>
      <c r="C23" s="11"/>
      <c r="D23" s="11"/>
      <c r="E23" s="11">
        <v>20750</v>
      </c>
      <c r="F23" s="11"/>
      <c r="G23" s="11">
        <f t="shared" si="0"/>
        <v>20750</v>
      </c>
      <c r="H23" s="17">
        <f t="shared" si="1"/>
        <v>4.0999999999999996</v>
      </c>
      <c r="I23" s="16">
        <f t="shared" si="2"/>
        <v>1.0999999999999999E-2</v>
      </c>
      <c r="J23" s="16">
        <f>ROUND(G23/25280-1,2)</f>
        <v>-0.18</v>
      </c>
    </row>
    <row r="24" spans="1:10" x14ac:dyDescent="0.25">
      <c r="A24" s="1" t="s">
        <v>16</v>
      </c>
      <c r="B24" s="1" t="s">
        <v>44</v>
      </c>
      <c r="C24" s="11"/>
      <c r="D24" s="11">
        <v>26800</v>
      </c>
      <c r="E24" s="11">
        <v>395760</v>
      </c>
      <c r="F24" s="11">
        <v>32760</v>
      </c>
      <c r="G24" s="11">
        <f t="shared" si="0"/>
        <v>455320</v>
      </c>
      <c r="H24" s="17">
        <f t="shared" si="1"/>
        <v>89.86</v>
      </c>
      <c r="I24" s="16">
        <f t="shared" si="2"/>
        <v>0.24399999999999999</v>
      </c>
      <c r="J24" s="16">
        <f>ROUND(G24/431750-1,2)</f>
        <v>0.05</v>
      </c>
    </row>
    <row r="25" spans="1:10" x14ac:dyDescent="0.25">
      <c r="A25" s="1" t="s">
        <v>16</v>
      </c>
      <c r="B25" s="1" t="s">
        <v>92</v>
      </c>
      <c r="C25" s="11"/>
      <c r="D25" s="11"/>
      <c r="E25" s="11"/>
      <c r="F25" s="11"/>
      <c r="G25" s="11">
        <f t="shared" si="0"/>
        <v>0</v>
      </c>
      <c r="H25" s="17">
        <f t="shared" si="1"/>
        <v>0</v>
      </c>
      <c r="I25" s="16">
        <f t="shared" si="2"/>
        <v>0</v>
      </c>
      <c r="J25" s="16"/>
    </row>
    <row r="26" spans="1:10" x14ac:dyDescent="0.25">
      <c r="A26" s="1" t="s">
        <v>16</v>
      </c>
      <c r="B26" s="1" t="s">
        <v>134</v>
      </c>
      <c r="C26" s="11"/>
      <c r="D26" s="11"/>
      <c r="E26" s="11"/>
      <c r="F26" s="11"/>
      <c r="G26" s="11">
        <f t="shared" si="0"/>
        <v>0</v>
      </c>
      <c r="H26" s="17">
        <f t="shared" si="1"/>
        <v>0</v>
      </c>
      <c r="I26" s="16">
        <f t="shared" si="2"/>
        <v>0</v>
      </c>
      <c r="J26" s="16"/>
    </row>
    <row r="27" spans="1:10" x14ac:dyDescent="0.25">
      <c r="A27" s="1" t="s">
        <v>16</v>
      </c>
      <c r="B27" s="1" t="s">
        <v>96</v>
      </c>
      <c r="C27" s="11"/>
      <c r="D27" s="11"/>
      <c r="E27" s="11"/>
      <c r="F27" s="11"/>
      <c r="G27" s="11">
        <f t="shared" si="0"/>
        <v>0</v>
      </c>
      <c r="H27" s="17">
        <f t="shared" si="1"/>
        <v>0</v>
      </c>
      <c r="I27" s="16">
        <f t="shared" si="2"/>
        <v>0</v>
      </c>
      <c r="J27" s="16"/>
    </row>
    <row r="28" spans="1:10" x14ac:dyDescent="0.25">
      <c r="A28" s="1" t="s">
        <v>16</v>
      </c>
      <c r="B28" s="1" t="s">
        <v>29</v>
      </c>
      <c r="C28" s="11"/>
      <c r="D28" s="11"/>
      <c r="E28" s="11"/>
      <c r="F28" s="11"/>
      <c r="G28" s="11">
        <f t="shared" si="0"/>
        <v>0</v>
      </c>
      <c r="H28" s="17">
        <f t="shared" si="1"/>
        <v>0</v>
      </c>
      <c r="I28" s="16">
        <f t="shared" si="2"/>
        <v>0</v>
      </c>
      <c r="J28" s="16"/>
    </row>
    <row r="29" spans="1:10" x14ac:dyDescent="0.25">
      <c r="A29" s="1" t="s">
        <v>16</v>
      </c>
      <c r="B29" s="1" t="s">
        <v>30</v>
      </c>
      <c r="C29" s="11"/>
      <c r="D29" s="11"/>
      <c r="E29" s="11"/>
      <c r="F29" s="11"/>
      <c r="G29" s="11">
        <f t="shared" si="0"/>
        <v>0</v>
      </c>
      <c r="H29" s="17">
        <f t="shared" si="1"/>
        <v>0</v>
      </c>
      <c r="I29" s="16">
        <f t="shared" si="2"/>
        <v>0</v>
      </c>
      <c r="J29" s="16">
        <f>ROUND(G29/2580-1,2)</f>
        <v>-1</v>
      </c>
    </row>
    <row r="30" spans="1:10" x14ac:dyDescent="0.25">
      <c r="A30" s="1" t="s">
        <v>16</v>
      </c>
      <c r="B30" s="1" t="s">
        <v>31</v>
      </c>
      <c r="C30" s="11"/>
      <c r="D30" s="11"/>
      <c r="E30" s="11"/>
      <c r="F30" s="11"/>
      <c r="G30" s="11">
        <f t="shared" si="0"/>
        <v>0</v>
      </c>
      <c r="H30" s="17">
        <f t="shared" si="1"/>
        <v>0</v>
      </c>
      <c r="I30" s="16">
        <f t="shared" si="2"/>
        <v>0</v>
      </c>
      <c r="J30" s="16">
        <f>ROUND(G30/100-1,2)</f>
        <v>-1</v>
      </c>
    </row>
    <row r="31" spans="1:10" x14ac:dyDescent="0.25">
      <c r="A31" s="1" t="s">
        <v>16</v>
      </c>
      <c r="B31" s="1" t="s">
        <v>32</v>
      </c>
      <c r="C31" s="11"/>
      <c r="D31" s="11"/>
      <c r="E31" s="11"/>
      <c r="F31" s="11"/>
      <c r="G31" s="11">
        <f t="shared" si="0"/>
        <v>0</v>
      </c>
      <c r="H31" s="17">
        <f t="shared" si="1"/>
        <v>0</v>
      </c>
      <c r="I31" s="16">
        <f t="shared" si="2"/>
        <v>0</v>
      </c>
      <c r="J31" s="16"/>
    </row>
    <row r="32" spans="1:10" x14ac:dyDescent="0.25">
      <c r="A32" s="1" t="s">
        <v>16</v>
      </c>
      <c r="B32" s="1" t="s">
        <v>36</v>
      </c>
      <c r="C32" s="11"/>
      <c r="D32" s="11"/>
      <c r="E32" s="11"/>
      <c r="F32" s="11"/>
      <c r="G32" s="11">
        <f t="shared" si="0"/>
        <v>0</v>
      </c>
      <c r="H32" s="17">
        <f t="shared" si="1"/>
        <v>0</v>
      </c>
      <c r="I32" s="16">
        <f t="shared" si="2"/>
        <v>0</v>
      </c>
      <c r="J32" s="16">
        <f>ROUND(G32/170-1,2)</f>
        <v>-1</v>
      </c>
    </row>
    <row r="33" spans="1:10" x14ac:dyDescent="0.25">
      <c r="A33" s="1" t="s">
        <v>16</v>
      </c>
      <c r="B33" s="1" t="s">
        <v>37</v>
      </c>
      <c r="C33" s="11"/>
      <c r="D33" s="11"/>
      <c r="E33" s="11"/>
      <c r="F33" s="11"/>
      <c r="G33" s="11">
        <f t="shared" si="0"/>
        <v>0</v>
      </c>
      <c r="H33" s="17">
        <f t="shared" si="1"/>
        <v>0</v>
      </c>
      <c r="I33" s="16">
        <f t="shared" si="2"/>
        <v>0</v>
      </c>
      <c r="J33" s="16"/>
    </row>
    <row r="34" spans="1:10" x14ac:dyDescent="0.25">
      <c r="A34" s="1" t="s">
        <v>16</v>
      </c>
      <c r="B34" s="1" t="s">
        <v>38</v>
      </c>
      <c r="C34" s="11"/>
      <c r="D34" s="11"/>
      <c r="E34" s="11"/>
      <c r="F34" s="11"/>
      <c r="G34" s="11">
        <f t="shared" si="0"/>
        <v>0</v>
      </c>
      <c r="H34" s="17">
        <f t="shared" si="1"/>
        <v>0</v>
      </c>
      <c r="I34" s="16">
        <f t="shared" si="2"/>
        <v>0</v>
      </c>
      <c r="J34" s="16">
        <f>ROUND(G34/9129-1,2)</f>
        <v>-1</v>
      </c>
    </row>
    <row r="35" spans="1:10" x14ac:dyDescent="0.25">
      <c r="A35" s="1" t="s">
        <v>16</v>
      </c>
      <c r="B35" s="1" t="s">
        <v>35</v>
      </c>
      <c r="C35" s="11"/>
      <c r="D35" s="11"/>
      <c r="E35" s="11"/>
      <c r="F35" s="11"/>
      <c r="G35" s="11">
        <f t="shared" si="0"/>
        <v>0</v>
      </c>
      <c r="H35" s="17">
        <f t="shared" si="1"/>
        <v>0</v>
      </c>
      <c r="I35" s="16">
        <f t="shared" si="2"/>
        <v>0</v>
      </c>
      <c r="J35" s="16"/>
    </row>
    <row r="36" spans="1:10" x14ac:dyDescent="0.25">
      <c r="A36" s="1" t="s">
        <v>16</v>
      </c>
      <c r="B36" s="1" t="s">
        <v>17</v>
      </c>
      <c r="C36" s="11"/>
      <c r="D36" s="11"/>
      <c r="E36" s="11"/>
      <c r="F36" s="11"/>
      <c r="G36" s="11">
        <f t="shared" si="0"/>
        <v>0</v>
      </c>
      <c r="H36" s="17">
        <f t="shared" si="1"/>
        <v>0</v>
      </c>
      <c r="I36" s="16">
        <f t="shared" si="2"/>
        <v>0</v>
      </c>
      <c r="J36" s="16">
        <f>ROUND(G36/40-1,2)</f>
        <v>-1</v>
      </c>
    </row>
    <row r="37" spans="1:10" x14ac:dyDescent="0.25">
      <c r="A37" s="1" t="s">
        <v>16</v>
      </c>
      <c r="B37" s="1" t="s">
        <v>22</v>
      </c>
      <c r="C37" s="11"/>
      <c r="D37" s="11"/>
      <c r="E37" s="11"/>
      <c r="F37" s="11"/>
      <c r="G37" s="11">
        <f t="shared" si="0"/>
        <v>0</v>
      </c>
      <c r="H37" s="17">
        <f t="shared" si="1"/>
        <v>0</v>
      </c>
      <c r="I37" s="16">
        <f t="shared" si="2"/>
        <v>0</v>
      </c>
      <c r="J37" s="16"/>
    </row>
    <row r="38" spans="1:10" x14ac:dyDescent="0.25">
      <c r="A38" s="1" t="s">
        <v>16</v>
      </c>
      <c r="B38" s="1" t="s">
        <v>18</v>
      </c>
      <c r="C38" s="11"/>
      <c r="D38" s="11"/>
      <c r="E38" s="11"/>
      <c r="F38" s="11"/>
      <c r="G38" s="11">
        <f t="shared" si="0"/>
        <v>0</v>
      </c>
      <c r="H38" s="17">
        <f t="shared" si="1"/>
        <v>0</v>
      </c>
      <c r="I38" s="16">
        <f t="shared" si="2"/>
        <v>0</v>
      </c>
      <c r="J38" s="16"/>
    </row>
    <row r="39" spans="1:10" x14ac:dyDescent="0.25">
      <c r="A39" s="1" t="s">
        <v>45</v>
      </c>
      <c r="B39" s="1" t="s">
        <v>46</v>
      </c>
      <c r="C39" s="11">
        <v>198940</v>
      </c>
      <c r="D39" s="11"/>
      <c r="E39" s="11"/>
      <c r="F39" s="11"/>
      <c r="G39" s="11">
        <f t="shared" si="0"/>
        <v>198940</v>
      </c>
      <c r="H39" s="17">
        <f t="shared" si="1"/>
        <v>39.26</v>
      </c>
      <c r="I39" s="16">
        <f t="shared" si="2"/>
        <v>0.107</v>
      </c>
      <c r="J39" s="16">
        <f>ROUND(G39/210990-1,2)</f>
        <v>-0.06</v>
      </c>
    </row>
    <row r="40" spans="1:10" x14ac:dyDescent="0.25">
      <c r="A40" s="1" t="s">
        <v>45</v>
      </c>
      <c r="B40" s="1" t="s">
        <v>48</v>
      </c>
      <c r="C40" s="11"/>
      <c r="D40" s="11"/>
      <c r="E40" s="11"/>
      <c r="F40" s="11">
        <v>15570</v>
      </c>
      <c r="G40" s="11">
        <f t="shared" si="0"/>
        <v>15570</v>
      </c>
      <c r="H40" s="17">
        <f t="shared" si="1"/>
        <v>3.07</v>
      </c>
      <c r="I40" s="16">
        <f t="shared" si="2"/>
        <v>8.0000000000000002E-3</v>
      </c>
      <c r="J40" s="16">
        <f>ROUND(G40/55910-1,2)</f>
        <v>-0.72</v>
      </c>
    </row>
    <row r="41" spans="1:10" x14ac:dyDescent="0.25">
      <c r="A41" s="1" t="s">
        <v>45</v>
      </c>
      <c r="B41" s="1" t="s">
        <v>47</v>
      </c>
      <c r="C41" s="11"/>
      <c r="D41" s="11"/>
      <c r="E41" s="11">
        <v>83450</v>
      </c>
      <c r="F41" s="11"/>
      <c r="G41" s="11">
        <f t="shared" si="0"/>
        <v>83450</v>
      </c>
      <c r="H41" s="17">
        <f t="shared" si="1"/>
        <v>16.47</v>
      </c>
      <c r="I41" s="16">
        <f t="shared" si="2"/>
        <v>4.4999999999999998E-2</v>
      </c>
      <c r="J41" s="16">
        <f>ROUND(G41/70860-1,2)</f>
        <v>0.18</v>
      </c>
    </row>
    <row r="42" spans="1:10" x14ac:dyDescent="0.25">
      <c r="A42" s="1" t="s">
        <v>49</v>
      </c>
      <c r="B42" s="1" t="s">
        <v>52</v>
      </c>
      <c r="C42" s="11"/>
      <c r="D42" s="11"/>
      <c r="E42" s="11"/>
      <c r="F42" s="11"/>
      <c r="G42" s="11">
        <f t="shared" si="0"/>
        <v>0</v>
      </c>
      <c r="H42" s="17">
        <f t="shared" si="1"/>
        <v>0</v>
      </c>
      <c r="I42" s="16">
        <f t="shared" si="2"/>
        <v>0</v>
      </c>
      <c r="J42" s="16"/>
    </row>
    <row r="43" spans="1:10" x14ac:dyDescent="0.25">
      <c r="A43" s="1" t="s">
        <v>49</v>
      </c>
      <c r="B43" s="1" t="s">
        <v>51</v>
      </c>
      <c r="C43" s="11"/>
      <c r="D43" s="11"/>
      <c r="E43" s="11"/>
      <c r="F43" s="11"/>
      <c r="G43" s="11">
        <f t="shared" si="0"/>
        <v>0</v>
      </c>
      <c r="H43" s="17">
        <f t="shared" si="1"/>
        <v>0</v>
      </c>
      <c r="I43" s="16">
        <f t="shared" si="2"/>
        <v>0</v>
      </c>
      <c r="J43" s="16"/>
    </row>
    <row r="44" spans="1:10" x14ac:dyDescent="0.25">
      <c r="A44" s="1" t="s">
        <v>49</v>
      </c>
      <c r="B44" s="1" t="s">
        <v>50</v>
      </c>
      <c r="C44" s="11"/>
      <c r="D44" s="11"/>
      <c r="E44" s="11"/>
      <c r="F44" s="11"/>
      <c r="G44" s="11">
        <f t="shared" si="0"/>
        <v>0</v>
      </c>
      <c r="H44" s="17">
        <f t="shared" si="1"/>
        <v>0</v>
      </c>
      <c r="I44" s="16">
        <f t="shared" si="2"/>
        <v>0</v>
      </c>
      <c r="J44" s="16"/>
    </row>
    <row r="45" spans="1:10" x14ac:dyDescent="0.25">
      <c r="A45" s="26" t="s">
        <v>12</v>
      </c>
      <c r="B45" s="26"/>
      <c r="C45" s="12">
        <f t="shared" ref="C45:H45" si="3">SUM(C8:C44)</f>
        <v>1072360</v>
      </c>
      <c r="D45" s="12">
        <f t="shared" si="3"/>
        <v>27048</v>
      </c>
      <c r="E45" s="12">
        <f t="shared" si="3"/>
        <v>719918</v>
      </c>
      <c r="F45" s="12">
        <f t="shared" si="3"/>
        <v>48580</v>
      </c>
      <c r="G45" s="12">
        <f t="shared" si="3"/>
        <v>1867906</v>
      </c>
      <c r="H45" s="15">
        <f t="shared" si="3"/>
        <v>368.64</v>
      </c>
      <c r="I45" s="18"/>
      <c r="J45" s="18"/>
    </row>
    <row r="46" spans="1:10" x14ac:dyDescent="0.25">
      <c r="A46" s="26" t="s">
        <v>14</v>
      </c>
      <c r="B46" s="26"/>
      <c r="C46" s="13">
        <f>ROUND(C45/G45,2)</f>
        <v>0.56999999999999995</v>
      </c>
      <c r="D46" s="13">
        <f>ROUND(D45/G45,2)</f>
        <v>0.01</v>
      </c>
      <c r="E46" s="13">
        <f>ROUND(E45/G45,2)</f>
        <v>0.39</v>
      </c>
      <c r="F46" s="13">
        <f>ROUND(F45/G45,2)</f>
        <v>0.03</v>
      </c>
      <c r="G46" s="14"/>
      <c r="H46" s="14"/>
      <c r="I46" s="18"/>
      <c r="J46" s="18"/>
    </row>
    <row r="47" spans="1:10" x14ac:dyDescent="0.25">
      <c r="A47" s="2" t="s">
        <v>53</v>
      </c>
      <c r="B47" s="2"/>
      <c r="C47" s="14"/>
      <c r="D47" s="14"/>
      <c r="E47" s="14"/>
      <c r="F47" s="14"/>
      <c r="G47" s="14"/>
      <c r="H47" s="14"/>
      <c r="I47" s="18"/>
      <c r="J47" s="18"/>
    </row>
    <row r="48" spans="1:10" x14ac:dyDescent="0.25">
      <c r="C48" s="9"/>
      <c r="D48" s="9"/>
      <c r="E48" s="9"/>
      <c r="F48" s="9"/>
      <c r="G48" s="9"/>
      <c r="H48" s="9"/>
      <c r="I48" s="10"/>
      <c r="J48" s="10"/>
    </row>
    <row r="49" spans="1:10" x14ac:dyDescent="0.25">
      <c r="C49" s="9"/>
      <c r="D49" s="9"/>
      <c r="E49" s="9"/>
      <c r="F49" s="9"/>
      <c r="G49" s="9"/>
      <c r="H49" s="9"/>
      <c r="I49" s="10"/>
      <c r="J49" s="10"/>
    </row>
    <row r="50" spans="1:10" x14ac:dyDescent="0.25">
      <c r="C50" s="9"/>
      <c r="D50" s="9"/>
      <c r="E50" s="9"/>
      <c r="F50" s="9"/>
      <c r="G50" s="9"/>
      <c r="H50" s="9"/>
      <c r="I50" s="10"/>
      <c r="J50" s="10"/>
    </row>
    <row r="51" spans="1:10" x14ac:dyDescent="0.25">
      <c r="A51" s="26" t="s">
        <v>54</v>
      </c>
      <c r="B51" s="26"/>
      <c r="C51" s="12" t="s">
        <v>8</v>
      </c>
      <c r="D51" s="12" t="s">
        <v>9</v>
      </c>
      <c r="E51" s="12" t="s">
        <v>10</v>
      </c>
      <c r="F51" s="12" t="s">
        <v>11</v>
      </c>
      <c r="G51" s="12" t="s">
        <v>12</v>
      </c>
      <c r="H51" s="15" t="s">
        <v>13</v>
      </c>
      <c r="I51" s="18"/>
      <c r="J51" s="18"/>
    </row>
    <row r="52" spans="1:10" x14ac:dyDescent="0.25">
      <c r="A52" s="21" t="s">
        <v>55</v>
      </c>
      <c r="B52" s="21"/>
      <c r="C52" s="11">
        <v>873420</v>
      </c>
      <c r="D52" s="11">
        <v>27048</v>
      </c>
      <c r="E52" s="11">
        <v>636468</v>
      </c>
      <c r="F52" s="11">
        <v>33010</v>
      </c>
      <c r="G52" s="11">
        <f>SUM(C52:F52)</f>
        <v>1569946</v>
      </c>
      <c r="H52" s="17">
        <f>ROUND(G52/5067,2)</f>
        <v>309.83999999999997</v>
      </c>
      <c r="I52" s="10"/>
      <c r="J52" s="10"/>
    </row>
    <row r="53" spans="1:10" x14ac:dyDescent="0.25">
      <c r="A53" s="21" t="s">
        <v>56</v>
      </c>
      <c r="B53" s="21"/>
      <c r="C53" s="11">
        <v>198940</v>
      </c>
      <c r="D53" s="11">
        <v>0</v>
      </c>
      <c r="E53" s="11">
        <v>83450</v>
      </c>
      <c r="F53" s="11">
        <v>15570</v>
      </c>
      <c r="G53" s="11">
        <f>SUM(C53:F53)</f>
        <v>297960</v>
      </c>
      <c r="H53" s="17">
        <f>ROUND(G53/5067,2)</f>
        <v>58.8</v>
      </c>
      <c r="I53" s="10"/>
      <c r="J53" s="10"/>
    </row>
    <row r="54" spans="1:10" x14ac:dyDescent="0.25">
      <c r="A54" s="21" t="s">
        <v>57</v>
      </c>
      <c r="B54" s="21"/>
      <c r="C54" s="11">
        <v>0</v>
      </c>
      <c r="D54" s="11">
        <v>0</v>
      </c>
      <c r="E54" s="11">
        <v>0</v>
      </c>
      <c r="F54" s="11">
        <v>0</v>
      </c>
      <c r="G54" s="11">
        <f>SUM(C54:F54)</f>
        <v>0</v>
      </c>
      <c r="H54" s="17">
        <f>ROUND(G54/5067,2)</f>
        <v>0</v>
      </c>
      <c r="I54" s="10"/>
      <c r="J54" s="10"/>
    </row>
    <row r="55" spans="1:10" x14ac:dyDescent="0.25">
      <c r="C55" s="9"/>
      <c r="D55" s="9"/>
      <c r="E55" s="9"/>
      <c r="F55" s="9"/>
      <c r="G55" s="9"/>
      <c r="H55" s="9"/>
      <c r="I55" s="10"/>
      <c r="J55" s="10"/>
    </row>
    <row r="56" spans="1:10" x14ac:dyDescent="0.25">
      <c r="C56" s="9"/>
      <c r="D56" s="9"/>
      <c r="E56" s="9"/>
      <c r="F56" s="9"/>
      <c r="G56" s="9"/>
      <c r="H56" s="9"/>
      <c r="I56" s="10"/>
      <c r="J56" s="10"/>
    </row>
    <row r="57" spans="1:10" x14ac:dyDescent="0.25">
      <c r="C57" s="9"/>
      <c r="D57" s="9"/>
      <c r="E57" s="9"/>
      <c r="F57" s="9"/>
      <c r="G57" s="9"/>
      <c r="H57" s="9"/>
      <c r="I57" s="10"/>
      <c r="J57" s="10"/>
    </row>
    <row r="58" spans="1:10" x14ac:dyDescent="0.25">
      <c r="C58" s="9"/>
      <c r="D58" s="9"/>
      <c r="E58" s="9"/>
      <c r="F58" s="9"/>
      <c r="G58" s="9"/>
      <c r="H58" s="9"/>
      <c r="I58" s="10"/>
      <c r="J58" s="10"/>
    </row>
    <row r="59" spans="1:10" x14ac:dyDescent="0.25">
      <c r="A59" s="26" t="s">
        <v>58</v>
      </c>
      <c r="B59" s="26"/>
      <c r="C59" s="15" t="s">
        <v>2</v>
      </c>
      <c r="D59" s="15">
        <v>2024</v>
      </c>
      <c r="E59" s="15" t="s">
        <v>60</v>
      </c>
      <c r="F59" s="14"/>
      <c r="G59" s="15" t="s">
        <v>61</v>
      </c>
      <c r="H59" s="15" t="s">
        <v>2</v>
      </c>
      <c r="I59" s="13" t="s">
        <v>62</v>
      </c>
      <c r="J59" s="13" t="s">
        <v>60</v>
      </c>
    </row>
    <row r="60" spans="1:10" x14ac:dyDescent="0.25">
      <c r="A60" s="21" t="s">
        <v>59</v>
      </c>
      <c r="B60" s="21"/>
      <c r="C60" s="16">
        <f>ROUND(0.8877, 4)</f>
        <v>0.88770000000000004</v>
      </c>
      <c r="D60" s="16">
        <f>ROUND(0.8767, 4)</f>
        <v>0.87670000000000003</v>
      </c>
      <c r="E60" s="16">
        <f>ROUND(0.7856, 4)</f>
        <v>0.78559999999999997</v>
      </c>
      <c r="F60" s="9"/>
      <c r="G60" s="15" t="s">
        <v>63</v>
      </c>
      <c r="H60" s="27" t="s">
        <v>64</v>
      </c>
      <c r="I60" s="24" t="s">
        <v>65</v>
      </c>
      <c r="J60" s="24" t="s">
        <v>66</v>
      </c>
    </row>
    <row r="61" spans="1:10" x14ac:dyDescent="0.25">
      <c r="A61" s="21" t="s">
        <v>67</v>
      </c>
      <c r="B61" s="21"/>
      <c r="C61" s="16">
        <f>ROUND(0.8877, 4)</f>
        <v>0.88770000000000004</v>
      </c>
      <c r="D61" s="16">
        <f>ROUND(0.866, 4)</f>
        <v>0.86599999999999999</v>
      </c>
      <c r="E61" s="16">
        <f>ROUND(0.7702, 4)</f>
        <v>0.7702</v>
      </c>
      <c r="F61" s="9"/>
      <c r="G61" s="15" t="s">
        <v>68</v>
      </c>
      <c r="H61" s="28"/>
      <c r="I61" s="25"/>
      <c r="J61" s="25"/>
    </row>
    <row r="62" spans="1:10" x14ac:dyDescent="0.25">
      <c r="C62" s="9"/>
      <c r="D62" s="9"/>
      <c r="E62" s="9"/>
      <c r="F62" s="9"/>
      <c r="G62" s="9"/>
      <c r="H62" s="9"/>
      <c r="I62" s="10"/>
      <c r="J62" s="10"/>
    </row>
    <row r="63" spans="1:10" x14ac:dyDescent="0.25">
      <c r="C63" s="9"/>
      <c r="D63" s="9"/>
      <c r="E63" s="9"/>
      <c r="F63" s="9"/>
      <c r="G63" s="9"/>
      <c r="H63" s="9"/>
      <c r="I63" s="10"/>
      <c r="J63" s="10"/>
    </row>
    <row r="64" spans="1:10" x14ac:dyDescent="0.25">
      <c r="C64" s="9"/>
      <c r="D64" s="9"/>
      <c r="E64" s="9"/>
      <c r="F64" s="9"/>
      <c r="G64" s="9"/>
      <c r="H64" s="9"/>
      <c r="I64" s="10"/>
      <c r="J64" s="10"/>
    </row>
    <row r="65" spans="1:10" x14ac:dyDescent="0.25">
      <c r="A65" s="26" t="s">
        <v>69</v>
      </c>
      <c r="B65" s="26"/>
      <c r="C65" s="15" t="s">
        <v>2</v>
      </c>
      <c r="D65" s="15" t="s">
        <v>237</v>
      </c>
      <c r="E65" s="15" t="s">
        <v>71</v>
      </c>
      <c r="F65" s="15" t="s">
        <v>72</v>
      </c>
      <c r="G65" s="15" t="s">
        <v>73</v>
      </c>
      <c r="H65" s="14"/>
      <c r="I65" s="18"/>
      <c r="J65" s="18"/>
    </row>
    <row r="66" spans="1:10" x14ac:dyDescent="0.25">
      <c r="A66" s="21" t="s">
        <v>74</v>
      </c>
      <c r="B66" s="21"/>
      <c r="C66" s="17">
        <v>39.26</v>
      </c>
      <c r="D66" s="17">
        <v>53.46</v>
      </c>
      <c r="E66" s="17">
        <v>96.15</v>
      </c>
      <c r="F66" s="17">
        <v>57.94</v>
      </c>
      <c r="G66" s="17">
        <f>12/12*C66</f>
        <v>39.26</v>
      </c>
      <c r="H66" s="9"/>
      <c r="I66" s="10"/>
      <c r="J66" s="10"/>
    </row>
    <row r="67" spans="1:10" x14ac:dyDescent="0.25">
      <c r="A67" s="21" t="s">
        <v>75</v>
      </c>
      <c r="B67" s="21"/>
      <c r="C67" s="17">
        <v>64.95</v>
      </c>
      <c r="D67" s="17">
        <v>74.09</v>
      </c>
      <c r="E67" s="17">
        <v>62.28</v>
      </c>
      <c r="F67" s="17">
        <v>66.599999999999994</v>
      </c>
      <c r="G67" s="17">
        <f>12/12*C67</f>
        <v>64.95</v>
      </c>
      <c r="H67" s="9"/>
      <c r="I67" s="10"/>
      <c r="J67" s="10"/>
    </row>
    <row r="68" spans="1:10" x14ac:dyDescent="0.25">
      <c r="A68" s="21" t="s">
        <v>76</v>
      </c>
      <c r="B68" s="21"/>
      <c r="C68" s="17">
        <v>309.83999999999997</v>
      </c>
      <c r="D68" s="17">
        <v>343.77</v>
      </c>
      <c r="E68" s="17">
        <v>300.02</v>
      </c>
      <c r="F68" s="17">
        <v>295.08</v>
      </c>
      <c r="G68" s="17">
        <f>12/12*C68</f>
        <v>309.83999999999997</v>
      </c>
      <c r="H68" s="9"/>
      <c r="I68" s="10"/>
      <c r="J68" s="10"/>
    </row>
    <row r="69" spans="1:10" x14ac:dyDescent="0.25">
      <c r="A69" s="21" t="s">
        <v>77</v>
      </c>
      <c r="B69" s="21"/>
      <c r="C69" s="17">
        <v>58.8</v>
      </c>
      <c r="D69" s="17">
        <v>73.760000000000005</v>
      </c>
      <c r="E69" s="17">
        <v>120.96</v>
      </c>
      <c r="F69" s="17">
        <v>83.12</v>
      </c>
      <c r="G69" s="17">
        <f>12/12*C69</f>
        <v>58.8</v>
      </c>
      <c r="H69" s="9"/>
      <c r="I69" s="10"/>
      <c r="J69" s="10"/>
    </row>
    <row r="70" spans="1:10" x14ac:dyDescent="0.25">
      <c r="C70" s="9"/>
      <c r="D70" s="9"/>
      <c r="E70" s="9"/>
      <c r="F70" s="9"/>
      <c r="G70" s="9"/>
      <c r="H70" s="9"/>
      <c r="I70" s="10"/>
      <c r="J70" s="10"/>
    </row>
    <row r="72" spans="1:10" x14ac:dyDescent="0.25">
      <c r="A72" s="22" t="s">
        <v>61</v>
      </c>
      <c r="B72" s="23"/>
    </row>
    <row r="73" spans="1:10" x14ac:dyDescent="0.25">
      <c r="A73" s="3" t="s">
        <v>78</v>
      </c>
      <c r="B73" s="1" t="s">
        <v>238</v>
      </c>
    </row>
    <row r="74" spans="1:10" x14ac:dyDescent="0.25">
      <c r="A74" s="3" t="s">
        <v>71</v>
      </c>
      <c r="B74" s="1" t="s">
        <v>80</v>
      </c>
    </row>
    <row r="75" spans="1:10" x14ac:dyDescent="0.25">
      <c r="A75" s="3" t="s">
        <v>72</v>
      </c>
      <c r="B75" s="1" t="s">
        <v>81</v>
      </c>
    </row>
    <row r="76" spans="1:10" x14ac:dyDescent="0.25">
      <c r="A76" s="3" t="s">
        <v>73</v>
      </c>
      <c r="B76" s="1" t="s">
        <v>82</v>
      </c>
    </row>
  </sheetData>
  <mergeCells count="19">
    <mergeCell ref="C7:G7"/>
    <mergeCell ref="A45:B45"/>
    <mergeCell ref="A46:B46"/>
    <mergeCell ref="A51:B51"/>
    <mergeCell ref="A52:B52"/>
    <mergeCell ref="J60:J61"/>
    <mergeCell ref="A61:B61"/>
    <mergeCell ref="A65:B65"/>
    <mergeCell ref="A66:B66"/>
    <mergeCell ref="A53:B53"/>
    <mergeCell ref="A54:B54"/>
    <mergeCell ref="A59:B59"/>
    <mergeCell ref="A60:B60"/>
    <mergeCell ref="H60:H61"/>
    <mergeCell ref="A67:B67"/>
    <mergeCell ref="A68:B68"/>
    <mergeCell ref="A69:B69"/>
    <mergeCell ref="A72:B72"/>
    <mergeCell ref="I60:I61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J79"/>
  <sheetViews>
    <sheetView workbookViewId="0">
      <selection activeCell="H5" sqref="H5"/>
    </sheetView>
  </sheetViews>
  <sheetFormatPr defaultRowHeight="15" x14ac:dyDescent="0.25"/>
  <cols>
    <col min="1" max="1" width="28.42578125" bestFit="1" customWidth="1"/>
    <col min="2" max="2" width="59.5703125" bestFit="1" customWidth="1"/>
    <col min="3" max="3" width="12.7109375" bestFit="1" customWidth="1"/>
    <col min="4" max="4" width="22.42578125" bestFit="1" customWidth="1"/>
    <col min="5" max="5" width="13.85546875" bestFit="1" customWidth="1"/>
    <col min="6" max="6" width="8.5703125" bestFit="1" customWidth="1"/>
    <col min="7" max="7" width="47.7109375" bestFit="1" customWidth="1"/>
    <col min="8" max="9" width="16.7109375" bestFit="1" customWidth="1"/>
    <col min="10" max="10" width="24.42578125" bestFit="1" customWidth="1"/>
  </cols>
  <sheetData>
    <row r="2" spans="1:10" ht="18.75" x14ac:dyDescent="0.3">
      <c r="A2" s="3" t="s">
        <v>0</v>
      </c>
      <c r="B2" s="4" t="s">
        <v>239</v>
      </c>
    </row>
    <row r="3" spans="1:10" x14ac:dyDescent="0.25">
      <c r="A3" s="3" t="s">
        <v>2</v>
      </c>
      <c r="B3" s="1" t="s">
        <v>3</v>
      </c>
    </row>
    <row r="4" spans="1:10" x14ac:dyDescent="0.25">
      <c r="A4" s="3" t="s">
        <v>4</v>
      </c>
      <c r="B4" s="20">
        <v>1952</v>
      </c>
    </row>
    <row r="7" spans="1:10" x14ac:dyDescent="0.25">
      <c r="C7" s="22" t="s">
        <v>5</v>
      </c>
      <c r="D7" s="21"/>
      <c r="E7" s="21"/>
      <c r="F7" s="21"/>
      <c r="G7" s="21"/>
    </row>
    <row r="8" spans="1:10" x14ac:dyDescent="0.25">
      <c r="A8" s="3" t="s">
        <v>6</v>
      </c>
      <c r="B8" s="3" t="s">
        <v>7</v>
      </c>
      <c r="C8" s="15" t="s">
        <v>8</v>
      </c>
      <c r="D8" s="15" t="s">
        <v>9</v>
      </c>
      <c r="E8" s="15" t="s">
        <v>10</v>
      </c>
      <c r="F8" s="15" t="s">
        <v>11</v>
      </c>
      <c r="G8" s="15" t="s">
        <v>12</v>
      </c>
      <c r="H8" s="15" t="s">
        <v>13</v>
      </c>
      <c r="I8" s="15" t="s">
        <v>14</v>
      </c>
      <c r="J8" s="15" t="s">
        <v>15</v>
      </c>
    </row>
    <row r="9" spans="1:10" x14ac:dyDescent="0.25">
      <c r="A9" s="1" t="s">
        <v>16</v>
      </c>
      <c r="B9" s="1" t="s">
        <v>17</v>
      </c>
      <c r="C9" s="11"/>
      <c r="D9" s="11"/>
      <c r="E9" s="11">
        <v>108</v>
      </c>
      <c r="F9" s="11"/>
      <c r="G9" s="11">
        <f t="shared" ref="G9:G38" si="0">SUM(C9:F9)</f>
        <v>108</v>
      </c>
      <c r="H9" s="17">
        <f t="shared" ref="H9:H38" si="1">ROUND(G9/1952,2)</f>
        <v>0.06</v>
      </c>
      <c r="I9" s="16">
        <f t="shared" ref="I9:I38" si="2">ROUND(G9/$G$39,3)</f>
        <v>0</v>
      </c>
      <c r="J9" s="16">
        <f>ROUND(G9/40-1,2)</f>
        <v>1.7</v>
      </c>
    </row>
    <row r="10" spans="1:10" x14ac:dyDescent="0.25">
      <c r="A10" s="1" t="s">
        <v>16</v>
      </c>
      <c r="B10" s="1" t="s">
        <v>19</v>
      </c>
      <c r="C10" s="11">
        <v>69280</v>
      </c>
      <c r="D10" s="11"/>
      <c r="E10" s="11">
        <v>7467</v>
      </c>
      <c r="F10" s="11"/>
      <c r="G10" s="11">
        <f t="shared" si="0"/>
        <v>76747</v>
      </c>
      <c r="H10" s="17">
        <f t="shared" si="1"/>
        <v>39.32</v>
      </c>
      <c r="I10" s="16">
        <f t="shared" si="2"/>
        <v>7.8E-2</v>
      </c>
      <c r="J10" s="16">
        <f>ROUND(G10/76347-1,2)</f>
        <v>0.01</v>
      </c>
    </row>
    <row r="11" spans="1:10" x14ac:dyDescent="0.25">
      <c r="A11" s="1" t="s">
        <v>16</v>
      </c>
      <c r="B11" s="1" t="s">
        <v>20</v>
      </c>
      <c r="C11" s="11">
        <v>87710</v>
      </c>
      <c r="D11" s="11"/>
      <c r="E11" s="11"/>
      <c r="F11" s="11"/>
      <c r="G11" s="11">
        <f t="shared" si="0"/>
        <v>87710</v>
      </c>
      <c r="H11" s="17">
        <f t="shared" si="1"/>
        <v>44.93</v>
      </c>
      <c r="I11" s="16">
        <f t="shared" si="2"/>
        <v>0.09</v>
      </c>
      <c r="J11" s="16">
        <f>ROUND(G11/87330-1,2)</f>
        <v>0</v>
      </c>
    </row>
    <row r="12" spans="1:10" x14ac:dyDescent="0.25">
      <c r="A12" s="1" t="s">
        <v>16</v>
      </c>
      <c r="B12" s="1" t="s">
        <v>21</v>
      </c>
      <c r="C12" s="11"/>
      <c r="D12" s="11"/>
      <c r="E12" s="11">
        <v>190</v>
      </c>
      <c r="F12" s="11"/>
      <c r="G12" s="11">
        <f t="shared" si="0"/>
        <v>190</v>
      </c>
      <c r="H12" s="17">
        <f t="shared" si="1"/>
        <v>0.1</v>
      </c>
      <c r="I12" s="16">
        <f t="shared" si="2"/>
        <v>0</v>
      </c>
      <c r="J12" s="16">
        <f>ROUND(G12/295-1,2)</f>
        <v>-0.36</v>
      </c>
    </row>
    <row r="13" spans="1:10" x14ac:dyDescent="0.25">
      <c r="A13" s="1" t="s">
        <v>16</v>
      </c>
      <c r="B13" s="1" t="s">
        <v>22</v>
      </c>
      <c r="C13" s="11"/>
      <c r="D13" s="11"/>
      <c r="E13" s="11">
        <v>1263</v>
      </c>
      <c r="F13" s="11"/>
      <c r="G13" s="11">
        <f t="shared" si="0"/>
        <v>1263</v>
      </c>
      <c r="H13" s="17">
        <f t="shared" si="1"/>
        <v>0.65</v>
      </c>
      <c r="I13" s="16">
        <f t="shared" si="2"/>
        <v>1E-3</v>
      </c>
      <c r="J13" s="16">
        <f>ROUND(G13/2219-1,2)</f>
        <v>-0.43</v>
      </c>
    </row>
    <row r="14" spans="1:10" x14ac:dyDescent="0.25">
      <c r="A14" s="1" t="s">
        <v>16</v>
      </c>
      <c r="B14" s="1" t="s">
        <v>23</v>
      </c>
      <c r="C14" s="11"/>
      <c r="D14" s="11"/>
      <c r="E14" s="11">
        <v>106696</v>
      </c>
      <c r="F14" s="11"/>
      <c r="G14" s="11">
        <f t="shared" si="0"/>
        <v>106696</v>
      </c>
      <c r="H14" s="17">
        <f t="shared" si="1"/>
        <v>54.66</v>
      </c>
      <c r="I14" s="16">
        <f t="shared" si="2"/>
        <v>0.109</v>
      </c>
      <c r="J14" s="16">
        <f>ROUND(G14/77507-1,2)</f>
        <v>0.38</v>
      </c>
    </row>
    <row r="15" spans="1:10" x14ac:dyDescent="0.25">
      <c r="A15" s="1" t="s">
        <v>16</v>
      </c>
      <c r="B15" s="1" t="s">
        <v>24</v>
      </c>
      <c r="C15" s="11">
        <v>81680</v>
      </c>
      <c r="D15" s="11"/>
      <c r="E15" s="11">
        <v>27866</v>
      </c>
      <c r="F15" s="11"/>
      <c r="G15" s="11">
        <f t="shared" si="0"/>
        <v>109546</v>
      </c>
      <c r="H15" s="17">
        <f t="shared" si="1"/>
        <v>56.12</v>
      </c>
      <c r="I15" s="16">
        <f t="shared" si="2"/>
        <v>0.112</v>
      </c>
      <c r="J15" s="16">
        <f>ROUND(G15/107938-1,2)</f>
        <v>0.01</v>
      </c>
    </row>
    <row r="16" spans="1:10" x14ac:dyDescent="0.25">
      <c r="A16" s="1" t="s">
        <v>16</v>
      </c>
      <c r="B16" s="1" t="s">
        <v>25</v>
      </c>
      <c r="C16" s="11"/>
      <c r="D16" s="11"/>
      <c r="E16" s="11">
        <v>7908</v>
      </c>
      <c r="F16" s="11"/>
      <c r="G16" s="11">
        <f t="shared" si="0"/>
        <v>7908</v>
      </c>
      <c r="H16" s="17">
        <f t="shared" si="1"/>
        <v>4.05</v>
      </c>
      <c r="I16" s="16">
        <f t="shared" si="2"/>
        <v>8.0000000000000002E-3</v>
      </c>
      <c r="J16" s="16">
        <f>ROUND(G16/7674-1,2)</f>
        <v>0.03</v>
      </c>
    </row>
    <row r="17" spans="1:10" x14ac:dyDescent="0.25">
      <c r="A17" s="1" t="s">
        <v>16</v>
      </c>
      <c r="B17" s="1" t="s">
        <v>26</v>
      </c>
      <c r="C17" s="11">
        <v>87260</v>
      </c>
      <c r="D17" s="11"/>
      <c r="E17" s="11"/>
      <c r="F17" s="11"/>
      <c r="G17" s="11">
        <f t="shared" si="0"/>
        <v>87260</v>
      </c>
      <c r="H17" s="17">
        <f t="shared" si="1"/>
        <v>44.7</v>
      </c>
      <c r="I17" s="16">
        <f t="shared" si="2"/>
        <v>8.8999999999999996E-2</v>
      </c>
      <c r="J17" s="16">
        <f>ROUND(G17/77690-1,2)</f>
        <v>0.12</v>
      </c>
    </row>
    <row r="18" spans="1:10" x14ac:dyDescent="0.25">
      <c r="A18" s="1" t="s">
        <v>16</v>
      </c>
      <c r="B18" s="1" t="s">
        <v>27</v>
      </c>
      <c r="C18" s="11"/>
      <c r="D18" s="11"/>
      <c r="E18" s="11">
        <v>720</v>
      </c>
      <c r="F18" s="11"/>
      <c r="G18" s="11">
        <f t="shared" si="0"/>
        <v>720</v>
      </c>
      <c r="H18" s="17">
        <f t="shared" si="1"/>
        <v>0.37</v>
      </c>
      <c r="I18" s="16">
        <f t="shared" si="2"/>
        <v>1E-3</v>
      </c>
      <c r="J18" s="16">
        <f>ROUND(G18/957-1,2)</f>
        <v>-0.25</v>
      </c>
    </row>
    <row r="19" spans="1:10" x14ac:dyDescent="0.25">
      <c r="A19" s="1" t="s">
        <v>16</v>
      </c>
      <c r="B19" s="1" t="s">
        <v>28</v>
      </c>
      <c r="C19" s="11"/>
      <c r="D19" s="11"/>
      <c r="E19" s="11">
        <v>432</v>
      </c>
      <c r="F19" s="11"/>
      <c r="G19" s="11">
        <f t="shared" si="0"/>
        <v>432</v>
      </c>
      <c r="H19" s="17">
        <f t="shared" si="1"/>
        <v>0.22</v>
      </c>
      <c r="I19" s="16">
        <f t="shared" si="2"/>
        <v>0</v>
      </c>
      <c r="J19" s="16">
        <f>ROUND(G19/437-1,2)</f>
        <v>-0.01</v>
      </c>
    </row>
    <row r="20" spans="1:10" x14ac:dyDescent="0.25">
      <c r="A20" s="1" t="s">
        <v>16</v>
      </c>
      <c r="B20" s="1" t="s">
        <v>29</v>
      </c>
      <c r="C20" s="11"/>
      <c r="D20" s="11"/>
      <c r="E20" s="11">
        <v>92</v>
      </c>
      <c r="F20" s="11"/>
      <c r="G20" s="11">
        <f t="shared" si="0"/>
        <v>92</v>
      </c>
      <c r="H20" s="17">
        <f t="shared" si="1"/>
        <v>0.05</v>
      </c>
      <c r="I20" s="16">
        <f t="shared" si="2"/>
        <v>0</v>
      </c>
      <c r="J20" s="16">
        <f>ROUND(G20/158-1,2)</f>
        <v>-0.42</v>
      </c>
    </row>
    <row r="21" spans="1:10" x14ac:dyDescent="0.25">
      <c r="A21" s="1" t="s">
        <v>16</v>
      </c>
      <c r="B21" s="1" t="s">
        <v>30</v>
      </c>
      <c r="C21" s="11"/>
      <c r="D21" s="11"/>
      <c r="E21" s="11">
        <v>4427</v>
      </c>
      <c r="F21" s="11"/>
      <c r="G21" s="11">
        <f t="shared" si="0"/>
        <v>4427</v>
      </c>
      <c r="H21" s="17">
        <f t="shared" si="1"/>
        <v>2.27</v>
      </c>
      <c r="I21" s="16">
        <f t="shared" si="2"/>
        <v>5.0000000000000001E-3</v>
      </c>
      <c r="J21" s="16">
        <f>ROUND(G21/3712-1,2)</f>
        <v>0.19</v>
      </c>
    </row>
    <row r="22" spans="1:10" x14ac:dyDescent="0.25">
      <c r="A22" s="1" t="s">
        <v>16</v>
      </c>
      <c r="B22" s="1" t="s">
        <v>31</v>
      </c>
      <c r="C22" s="11"/>
      <c r="D22" s="11"/>
      <c r="E22" s="11">
        <v>726</v>
      </c>
      <c r="F22" s="11"/>
      <c r="G22" s="11">
        <f t="shared" si="0"/>
        <v>726</v>
      </c>
      <c r="H22" s="17">
        <f t="shared" si="1"/>
        <v>0.37</v>
      </c>
      <c r="I22" s="16">
        <f t="shared" si="2"/>
        <v>1E-3</v>
      </c>
      <c r="J22" s="16">
        <f>ROUND(G22/492-1,2)</f>
        <v>0.48</v>
      </c>
    </row>
    <row r="23" spans="1:10" x14ac:dyDescent="0.25">
      <c r="A23" s="1" t="s">
        <v>16</v>
      </c>
      <c r="B23" s="1" t="s">
        <v>33</v>
      </c>
      <c r="C23" s="11"/>
      <c r="D23" s="11"/>
      <c r="E23" s="11">
        <v>1966</v>
      </c>
      <c r="F23" s="11"/>
      <c r="G23" s="11">
        <f t="shared" si="0"/>
        <v>1966</v>
      </c>
      <c r="H23" s="17">
        <f t="shared" si="1"/>
        <v>1.01</v>
      </c>
      <c r="I23" s="16">
        <f t="shared" si="2"/>
        <v>2E-3</v>
      </c>
      <c r="J23" s="16">
        <f>ROUND(G23/2893-1,2)</f>
        <v>-0.32</v>
      </c>
    </row>
    <row r="24" spans="1:10" x14ac:dyDescent="0.25">
      <c r="A24" s="1" t="s">
        <v>16</v>
      </c>
      <c r="B24" s="1" t="s">
        <v>34</v>
      </c>
      <c r="C24" s="11"/>
      <c r="D24" s="11"/>
      <c r="E24" s="11">
        <v>99</v>
      </c>
      <c r="F24" s="11"/>
      <c r="G24" s="11">
        <f t="shared" si="0"/>
        <v>99</v>
      </c>
      <c r="H24" s="17">
        <f t="shared" si="1"/>
        <v>0.05</v>
      </c>
      <c r="I24" s="16">
        <f t="shared" si="2"/>
        <v>0</v>
      </c>
      <c r="J24" s="16">
        <f>ROUND(G24/145-1,2)</f>
        <v>-0.32</v>
      </c>
    </row>
    <row r="25" spans="1:10" x14ac:dyDescent="0.25">
      <c r="A25" s="1" t="s">
        <v>16</v>
      </c>
      <c r="B25" s="1" t="s">
        <v>36</v>
      </c>
      <c r="C25" s="11"/>
      <c r="D25" s="11"/>
      <c r="E25" s="11">
        <v>428</v>
      </c>
      <c r="F25" s="11"/>
      <c r="G25" s="11">
        <f t="shared" si="0"/>
        <v>428</v>
      </c>
      <c r="H25" s="17">
        <f t="shared" si="1"/>
        <v>0.22</v>
      </c>
      <c r="I25" s="16">
        <f t="shared" si="2"/>
        <v>0</v>
      </c>
      <c r="J25" s="16">
        <f>ROUND(G25/883-1,2)</f>
        <v>-0.52</v>
      </c>
    </row>
    <row r="26" spans="1:10" x14ac:dyDescent="0.25">
      <c r="A26" s="1" t="s">
        <v>16</v>
      </c>
      <c r="B26" s="1" t="s">
        <v>35</v>
      </c>
      <c r="C26" s="11"/>
      <c r="D26" s="11"/>
      <c r="E26" s="11">
        <v>1374</v>
      </c>
      <c r="F26" s="11"/>
      <c r="G26" s="11">
        <f t="shared" si="0"/>
        <v>1374</v>
      </c>
      <c r="H26" s="17">
        <f t="shared" si="1"/>
        <v>0.7</v>
      </c>
      <c r="I26" s="16">
        <f t="shared" si="2"/>
        <v>1E-3</v>
      </c>
      <c r="J26" s="16">
        <f>ROUND(G26/424-1,2)</f>
        <v>2.2400000000000002</v>
      </c>
    </row>
    <row r="27" spans="1:10" x14ac:dyDescent="0.25">
      <c r="A27" s="1" t="s">
        <v>16</v>
      </c>
      <c r="B27" s="1" t="s">
        <v>37</v>
      </c>
      <c r="C27" s="11"/>
      <c r="D27" s="11"/>
      <c r="E27" s="11">
        <v>2679</v>
      </c>
      <c r="F27" s="11"/>
      <c r="G27" s="11">
        <f t="shared" si="0"/>
        <v>2679</v>
      </c>
      <c r="H27" s="17">
        <f t="shared" si="1"/>
        <v>1.37</v>
      </c>
      <c r="I27" s="16">
        <f t="shared" si="2"/>
        <v>3.0000000000000001E-3</v>
      </c>
      <c r="J27" s="16">
        <f>ROUND(G27/1786-1,2)</f>
        <v>0.5</v>
      </c>
    </row>
    <row r="28" spans="1:10" x14ac:dyDescent="0.25">
      <c r="A28" s="1" t="s">
        <v>16</v>
      </c>
      <c r="B28" s="1" t="s">
        <v>38</v>
      </c>
      <c r="C28" s="11"/>
      <c r="D28" s="11"/>
      <c r="E28" s="11">
        <v>5222</v>
      </c>
      <c r="F28" s="11"/>
      <c r="G28" s="11">
        <f t="shared" si="0"/>
        <v>5222</v>
      </c>
      <c r="H28" s="17">
        <f t="shared" si="1"/>
        <v>2.68</v>
      </c>
      <c r="I28" s="16">
        <f t="shared" si="2"/>
        <v>5.0000000000000001E-3</v>
      </c>
      <c r="J28" s="16">
        <f>ROUND(G28/9824-1,2)</f>
        <v>-0.47</v>
      </c>
    </row>
    <row r="29" spans="1:10" x14ac:dyDescent="0.25">
      <c r="A29" s="1" t="s">
        <v>16</v>
      </c>
      <c r="B29" s="1" t="s">
        <v>39</v>
      </c>
      <c r="C29" s="11"/>
      <c r="D29" s="11"/>
      <c r="E29" s="11">
        <v>9699</v>
      </c>
      <c r="F29" s="11"/>
      <c r="G29" s="11">
        <f t="shared" si="0"/>
        <v>9699</v>
      </c>
      <c r="H29" s="17">
        <f t="shared" si="1"/>
        <v>4.97</v>
      </c>
      <c r="I29" s="16">
        <f t="shared" si="2"/>
        <v>0.01</v>
      </c>
      <c r="J29" s="16">
        <f>ROUND(G29/5108-1,2)</f>
        <v>0.9</v>
      </c>
    </row>
    <row r="30" spans="1:10" x14ac:dyDescent="0.25">
      <c r="A30" s="1" t="s">
        <v>16</v>
      </c>
      <c r="B30" s="1" t="s">
        <v>40</v>
      </c>
      <c r="C30" s="11"/>
      <c r="D30" s="11"/>
      <c r="E30" s="11">
        <v>96834</v>
      </c>
      <c r="F30" s="11"/>
      <c r="G30" s="11">
        <f t="shared" si="0"/>
        <v>96834</v>
      </c>
      <c r="H30" s="17">
        <f t="shared" si="1"/>
        <v>49.61</v>
      </c>
      <c r="I30" s="16">
        <f t="shared" si="2"/>
        <v>9.9000000000000005E-2</v>
      </c>
      <c r="J30" s="16">
        <f>ROUND(G30/76466-1,2)</f>
        <v>0.27</v>
      </c>
    </row>
    <row r="31" spans="1:10" x14ac:dyDescent="0.25">
      <c r="A31" s="1" t="s">
        <v>16</v>
      </c>
      <c r="B31" s="1" t="s">
        <v>41</v>
      </c>
      <c r="C31" s="11"/>
      <c r="D31" s="11"/>
      <c r="E31" s="11">
        <v>6519</v>
      </c>
      <c r="F31" s="11"/>
      <c r="G31" s="11">
        <f t="shared" si="0"/>
        <v>6519</v>
      </c>
      <c r="H31" s="17">
        <f t="shared" si="1"/>
        <v>3.34</v>
      </c>
      <c r="I31" s="16">
        <f t="shared" si="2"/>
        <v>7.0000000000000001E-3</v>
      </c>
      <c r="J31" s="16">
        <f>ROUND(G31/5933-1,2)</f>
        <v>0.1</v>
      </c>
    </row>
    <row r="32" spans="1:10" x14ac:dyDescent="0.25">
      <c r="A32" s="1" t="s">
        <v>16</v>
      </c>
      <c r="B32" s="1" t="s">
        <v>42</v>
      </c>
      <c r="C32" s="11"/>
      <c r="D32" s="11"/>
      <c r="E32" s="11">
        <v>21455</v>
      </c>
      <c r="F32" s="11"/>
      <c r="G32" s="11">
        <f t="shared" si="0"/>
        <v>21455</v>
      </c>
      <c r="H32" s="17">
        <f t="shared" si="1"/>
        <v>10.99</v>
      </c>
      <c r="I32" s="16">
        <f t="shared" si="2"/>
        <v>2.1999999999999999E-2</v>
      </c>
      <c r="J32" s="16">
        <f>ROUND(G32/19384-1,2)</f>
        <v>0.11</v>
      </c>
    </row>
    <row r="33" spans="1:10" x14ac:dyDescent="0.25">
      <c r="A33" s="1" t="s">
        <v>16</v>
      </c>
      <c r="B33" s="1" t="s">
        <v>44</v>
      </c>
      <c r="C33" s="11"/>
      <c r="D33" s="11"/>
      <c r="E33" s="11">
        <v>20602</v>
      </c>
      <c r="F33" s="11"/>
      <c r="G33" s="11">
        <f t="shared" si="0"/>
        <v>20602</v>
      </c>
      <c r="H33" s="17">
        <f t="shared" si="1"/>
        <v>10.55</v>
      </c>
      <c r="I33" s="16">
        <f t="shared" si="2"/>
        <v>2.1000000000000001E-2</v>
      </c>
      <c r="J33" s="16">
        <f>ROUND(G33/21533-1,2)</f>
        <v>-0.04</v>
      </c>
    </row>
    <row r="34" spans="1:10" x14ac:dyDescent="0.25">
      <c r="A34" s="1" t="s">
        <v>16</v>
      </c>
      <c r="B34" s="1" t="s">
        <v>32</v>
      </c>
      <c r="C34" s="11"/>
      <c r="D34" s="11"/>
      <c r="E34" s="11"/>
      <c r="F34" s="11"/>
      <c r="G34" s="11">
        <f t="shared" si="0"/>
        <v>0</v>
      </c>
      <c r="H34" s="17">
        <f t="shared" si="1"/>
        <v>0</v>
      </c>
      <c r="I34" s="16">
        <f t="shared" si="2"/>
        <v>0</v>
      </c>
      <c r="J34" s="16">
        <f>ROUND(G34/631-1,2)</f>
        <v>-1</v>
      </c>
    </row>
    <row r="35" spans="1:10" x14ac:dyDescent="0.25">
      <c r="A35" s="1" t="s">
        <v>45</v>
      </c>
      <c r="B35" s="1" t="s">
        <v>46</v>
      </c>
      <c r="C35" s="11">
        <v>274090</v>
      </c>
      <c r="D35" s="11"/>
      <c r="E35" s="11"/>
      <c r="F35" s="11"/>
      <c r="G35" s="11">
        <f t="shared" si="0"/>
        <v>274090</v>
      </c>
      <c r="H35" s="17">
        <f t="shared" si="1"/>
        <v>140.41</v>
      </c>
      <c r="I35" s="16">
        <f t="shared" si="2"/>
        <v>0.28000000000000003</v>
      </c>
      <c r="J35" s="16">
        <f>ROUND(G35/266170-1,2)</f>
        <v>0.03</v>
      </c>
    </row>
    <row r="36" spans="1:10" x14ac:dyDescent="0.25">
      <c r="A36" s="1" t="s">
        <v>45</v>
      </c>
      <c r="B36" s="1" t="s">
        <v>47</v>
      </c>
      <c r="C36" s="11"/>
      <c r="D36" s="11"/>
      <c r="E36" s="11">
        <v>53100</v>
      </c>
      <c r="F36" s="11"/>
      <c r="G36" s="11">
        <f t="shared" si="0"/>
        <v>53100</v>
      </c>
      <c r="H36" s="17">
        <f t="shared" si="1"/>
        <v>27.2</v>
      </c>
      <c r="I36" s="16">
        <f t="shared" si="2"/>
        <v>5.3999999999999999E-2</v>
      </c>
      <c r="J36" s="16">
        <f>ROUND(G36/41064-1,2)</f>
        <v>0.28999999999999998</v>
      </c>
    </row>
    <row r="37" spans="1:10" x14ac:dyDescent="0.25">
      <c r="A37" s="1" t="s">
        <v>45</v>
      </c>
      <c r="B37" s="1" t="s">
        <v>48</v>
      </c>
      <c r="C37" s="11"/>
      <c r="D37" s="11"/>
      <c r="E37" s="11"/>
      <c r="F37" s="11"/>
      <c r="G37" s="11">
        <f t="shared" si="0"/>
        <v>0</v>
      </c>
      <c r="H37" s="17">
        <f t="shared" si="1"/>
        <v>0</v>
      </c>
      <c r="I37" s="16">
        <f t="shared" si="2"/>
        <v>0</v>
      </c>
      <c r="J37" s="16"/>
    </row>
    <row r="38" spans="1:10" x14ac:dyDescent="0.25">
      <c r="A38" s="1" t="s">
        <v>49</v>
      </c>
      <c r="B38" s="1" t="s">
        <v>52</v>
      </c>
      <c r="C38" s="11"/>
      <c r="D38" s="11"/>
      <c r="E38" s="11"/>
      <c r="F38" s="11"/>
      <c r="G38" s="11">
        <f t="shared" si="0"/>
        <v>0</v>
      </c>
      <c r="H38" s="17">
        <f t="shared" si="1"/>
        <v>0</v>
      </c>
      <c r="I38" s="16">
        <f t="shared" si="2"/>
        <v>0</v>
      </c>
      <c r="J38" s="16"/>
    </row>
    <row r="39" spans="1:10" x14ac:dyDescent="0.25">
      <c r="A39" s="26" t="s">
        <v>12</v>
      </c>
      <c r="B39" s="26"/>
      <c r="C39" s="12">
        <f t="shared" ref="C39:H39" si="3">SUM(C8:C38)</f>
        <v>600020</v>
      </c>
      <c r="D39" s="12">
        <f t="shared" si="3"/>
        <v>0</v>
      </c>
      <c r="E39" s="12">
        <f t="shared" si="3"/>
        <v>377872</v>
      </c>
      <c r="F39" s="12">
        <f t="shared" si="3"/>
        <v>0</v>
      </c>
      <c r="G39" s="12">
        <f t="shared" si="3"/>
        <v>977892</v>
      </c>
      <c r="H39" s="15">
        <f t="shared" si="3"/>
        <v>500.97000000000008</v>
      </c>
      <c r="I39" s="18"/>
      <c r="J39" s="18"/>
    </row>
    <row r="40" spans="1:10" x14ac:dyDescent="0.25">
      <c r="A40" s="26" t="s">
        <v>14</v>
      </c>
      <c r="B40" s="26"/>
      <c r="C40" s="13">
        <f>ROUND(C39/G39,2)</f>
        <v>0.61</v>
      </c>
      <c r="D40" s="13">
        <f>ROUND(D39/G39,2)</f>
        <v>0</v>
      </c>
      <c r="E40" s="13">
        <f>ROUND(E39/G39,2)</f>
        <v>0.39</v>
      </c>
      <c r="F40" s="13">
        <f>ROUND(F39/G39,2)</f>
        <v>0</v>
      </c>
      <c r="G40" s="14"/>
      <c r="H40" s="14"/>
      <c r="I40" s="18"/>
      <c r="J40" s="18"/>
    </row>
    <row r="41" spans="1:10" x14ac:dyDescent="0.25">
      <c r="A41" s="2" t="s">
        <v>53</v>
      </c>
      <c r="B41" s="2"/>
      <c r="C41" s="14"/>
      <c r="D41" s="14"/>
      <c r="E41" s="14"/>
      <c r="F41" s="14"/>
      <c r="G41" s="14"/>
      <c r="H41" s="14"/>
      <c r="I41" s="18"/>
      <c r="J41" s="18"/>
    </row>
    <row r="42" spans="1:10" x14ac:dyDescent="0.25">
      <c r="C42" s="9"/>
      <c r="D42" s="9"/>
      <c r="E42" s="9"/>
      <c r="F42" s="9"/>
      <c r="G42" s="9"/>
      <c r="H42" s="9"/>
      <c r="I42" s="10"/>
      <c r="J42" s="10"/>
    </row>
    <row r="43" spans="1:10" x14ac:dyDescent="0.25">
      <c r="C43" s="9"/>
      <c r="D43" s="9"/>
      <c r="E43" s="9"/>
      <c r="F43" s="9"/>
      <c r="G43" s="9"/>
      <c r="H43" s="9"/>
      <c r="I43" s="10"/>
      <c r="J43" s="10"/>
    </row>
    <row r="44" spans="1:10" x14ac:dyDescent="0.25">
      <c r="C44" s="9"/>
      <c r="D44" s="9"/>
      <c r="E44" s="9"/>
      <c r="F44" s="9"/>
      <c r="G44" s="9"/>
      <c r="H44" s="9"/>
      <c r="I44" s="10"/>
      <c r="J44" s="10"/>
    </row>
    <row r="45" spans="1:10" x14ac:dyDescent="0.25">
      <c r="A45" s="26" t="s">
        <v>54</v>
      </c>
      <c r="B45" s="26"/>
      <c r="C45" s="12" t="s">
        <v>8</v>
      </c>
      <c r="D45" s="12" t="s">
        <v>9</v>
      </c>
      <c r="E45" s="12" t="s">
        <v>10</v>
      </c>
      <c r="F45" s="12" t="s">
        <v>11</v>
      </c>
      <c r="G45" s="12" t="s">
        <v>12</v>
      </c>
      <c r="H45" s="15" t="s">
        <v>13</v>
      </c>
      <c r="I45" s="18"/>
      <c r="J45" s="18"/>
    </row>
    <row r="46" spans="1:10" x14ac:dyDescent="0.25">
      <c r="A46" s="21" t="s">
        <v>55</v>
      </c>
      <c r="B46" s="21"/>
      <c r="C46" s="11">
        <v>325930</v>
      </c>
      <c r="D46" s="11">
        <v>0</v>
      </c>
      <c r="E46" s="11">
        <v>324772</v>
      </c>
      <c r="F46" s="11">
        <v>0</v>
      </c>
      <c r="G46" s="11">
        <f>SUM(C46:F46)</f>
        <v>650702</v>
      </c>
      <c r="H46" s="17">
        <f>ROUND(G46/1952,2)</f>
        <v>333.35</v>
      </c>
      <c r="I46" s="10"/>
      <c r="J46" s="10"/>
    </row>
    <row r="47" spans="1:10" x14ac:dyDescent="0.25">
      <c r="A47" s="21" t="s">
        <v>56</v>
      </c>
      <c r="B47" s="21"/>
      <c r="C47" s="11">
        <v>274090</v>
      </c>
      <c r="D47" s="11">
        <v>0</v>
      </c>
      <c r="E47" s="11">
        <v>53100</v>
      </c>
      <c r="F47" s="11">
        <v>0</v>
      </c>
      <c r="G47" s="11">
        <f>SUM(C47:F47)</f>
        <v>327190</v>
      </c>
      <c r="H47" s="17">
        <f>ROUND(G47/1952,2)</f>
        <v>167.62</v>
      </c>
      <c r="I47" s="10"/>
      <c r="J47" s="10"/>
    </row>
    <row r="48" spans="1:10" x14ac:dyDescent="0.25">
      <c r="A48" s="21" t="s">
        <v>57</v>
      </c>
      <c r="B48" s="21"/>
      <c r="C48" s="11">
        <v>0</v>
      </c>
      <c r="D48" s="11">
        <v>0</v>
      </c>
      <c r="E48" s="11">
        <v>0</v>
      </c>
      <c r="F48" s="11">
        <v>0</v>
      </c>
      <c r="G48" s="11">
        <f>SUM(C48:F48)</f>
        <v>0</v>
      </c>
      <c r="H48" s="17">
        <f>ROUND(G48/1952,2)</f>
        <v>0</v>
      </c>
      <c r="I48" s="10"/>
      <c r="J48" s="10"/>
    </row>
    <row r="49" spans="1:10" x14ac:dyDescent="0.25">
      <c r="C49" s="9"/>
      <c r="D49" s="9"/>
      <c r="E49" s="9"/>
      <c r="F49" s="9"/>
      <c r="G49" s="9"/>
      <c r="H49" s="9"/>
      <c r="I49" s="10"/>
      <c r="J49" s="10"/>
    </row>
    <row r="50" spans="1:10" x14ac:dyDescent="0.25">
      <c r="C50" s="9"/>
      <c r="D50" s="9"/>
      <c r="E50" s="9"/>
      <c r="F50" s="9"/>
      <c r="G50" s="9"/>
      <c r="H50" s="9"/>
      <c r="I50" s="10"/>
      <c r="J50" s="10"/>
    </row>
    <row r="51" spans="1:10" x14ac:dyDescent="0.25">
      <c r="C51" s="9"/>
      <c r="D51" s="9"/>
      <c r="E51" s="9"/>
      <c r="F51" s="9"/>
      <c r="G51" s="9"/>
      <c r="H51" s="9"/>
      <c r="I51" s="10"/>
      <c r="J51" s="10"/>
    </row>
    <row r="52" spans="1:10" x14ac:dyDescent="0.25">
      <c r="C52" s="9"/>
      <c r="D52" s="9"/>
      <c r="E52" s="9"/>
      <c r="F52" s="9"/>
      <c r="G52" s="9"/>
      <c r="H52" s="9"/>
      <c r="I52" s="10"/>
      <c r="J52" s="10"/>
    </row>
    <row r="53" spans="1:10" x14ac:dyDescent="0.25">
      <c r="A53" s="26" t="s">
        <v>58</v>
      </c>
      <c r="B53" s="26"/>
      <c r="C53" s="15" t="s">
        <v>2</v>
      </c>
      <c r="D53" s="15">
        <v>2024</v>
      </c>
      <c r="E53" s="15" t="s">
        <v>60</v>
      </c>
      <c r="F53" s="14"/>
      <c r="G53" s="15" t="s">
        <v>61</v>
      </c>
      <c r="H53" s="15" t="s">
        <v>2</v>
      </c>
      <c r="I53" s="13" t="s">
        <v>62</v>
      </c>
      <c r="J53" s="13" t="s">
        <v>60</v>
      </c>
    </row>
    <row r="54" spans="1:10" x14ac:dyDescent="0.25">
      <c r="A54" s="21" t="s">
        <v>59</v>
      </c>
      <c r="B54" s="21"/>
      <c r="C54" s="16">
        <f>ROUND(0.6849, 4)</f>
        <v>0.68489999999999995</v>
      </c>
      <c r="D54" s="16">
        <f>ROUND(0.6722, 4)</f>
        <v>0.67220000000000002</v>
      </c>
      <c r="E54" s="16">
        <f>ROUND(0.7856, 4)</f>
        <v>0.78559999999999997</v>
      </c>
      <c r="F54" s="9"/>
      <c r="G54" s="15" t="s">
        <v>63</v>
      </c>
      <c r="H54" s="27" t="s">
        <v>64</v>
      </c>
      <c r="I54" s="24" t="s">
        <v>65</v>
      </c>
      <c r="J54" s="24" t="s">
        <v>66</v>
      </c>
    </row>
    <row r="55" spans="1:10" x14ac:dyDescent="0.25">
      <c r="A55" s="21" t="s">
        <v>67</v>
      </c>
      <c r="B55" s="21"/>
      <c r="C55" s="16">
        <f>ROUND(0.6849, 4)</f>
        <v>0.68489999999999995</v>
      </c>
      <c r="D55" s="16">
        <f>ROUND(0.6373, 4)</f>
        <v>0.63729999999999998</v>
      </c>
      <c r="E55" s="16">
        <f>ROUND(0.7702, 4)</f>
        <v>0.7702</v>
      </c>
      <c r="F55" s="9"/>
      <c r="G55" s="15" t="s">
        <v>68</v>
      </c>
      <c r="H55" s="28"/>
      <c r="I55" s="25"/>
      <c r="J55" s="25"/>
    </row>
    <row r="56" spans="1:10" x14ac:dyDescent="0.25">
      <c r="C56" s="9"/>
      <c r="D56" s="9"/>
      <c r="E56" s="9"/>
      <c r="F56" s="9"/>
      <c r="G56" s="9"/>
      <c r="H56" s="9"/>
      <c r="I56" s="10"/>
      <c r="J56" s="10"/>
    </row>
    <row r="57" spans="1:10" x14ac:dyDescent="0.25">
      <c r="C57" s="9"/>
      <c r="D57" s="9"/>
      <c r="E57" s="9"/>
      <c r="F57" s="9"/>
      <c r="G57" s="9"/>
      <c r="H57" s="9"/>
      <c r="I57" s="10"/>
      <c r="J57" s="10"/>
    </row>
    <row r="58" spans="1:10" x14ac:dyDescent="0.25">
      <c r="C58" s="9"/>
      <c r="D58" s="9"/>
      <c r="E58" s="9"/>
      <c r="F58" s="9"/>
      <c r="G58" s="9"/>
      <c r="H58" s="9"/>
      <c r="I58" s="10"/>
      <c r="J58" s="10"/>
    </row>
    <row r="59" spans="1:10" x14ac:dyDescent="0.25">
      <c r="A59" s="26" t="s">
        <v>69</v>
      </c>
      <c r="B59" s="26"/>
      <c r="C59" s="15" t="s">
        <v>2</v>
      </c>
      <c r="D59" s="15" t="s">
        <v>240</v>
      </c>
      <c r="E59" s="15" t="s">
        <v>71</v>
      </c>
      <c r="F59" s="15" t="s">
        <v>72</v>
      </c>
      <c r="G59" s="15" t="s">
        <v>73</v>
      </c>
      <c r="H59" s="14"/>
      <c r="I59" s="18"/>
      <c r="J59" s="18"/>
    </row>
    <row r="60" spans="1:10" x14ac:dyDescent="0.25">
      <c r="A60" s="21" t="s">
        <v>74</v>
      </c>
      <c r="B60" s="21"/>
      <c r="C60" s="17">
        <v>140.41</v>
      </c>
      <c r="D60" s="17">
        <v>133.58000000000001</v>
      </c>
      <c r="E60" s="17">
        <v>96.15</v>
      </c>
      <c r="F60" s="17">
        <v>57.94</v>
      </c>
      <c r="G60" s="17">
        <f>12/12*C60</f>
        <v>140.41</v>
      </c>
      <c r="H60" s="9"/>
      <c r="I60" s="10"/>
      <c r="J60" s="10"/>
    </row>
    <row r="61" spans="1:10" x14ac:dyDescent="0.25">
      <c r="A61" s="21" t="s">
        <v>75</v>
      </c>
      <c r="B61" s="21"/>
      <c r="C61" s="17">
        <v>44.7</v>
      </c>
      <c r="D61" s="17">
        <v>47.13</v>
      </c>
      <c r="E61" s="17">
        <v>62.28</v>
      </c>
      <c r="F61" s="17">
        <v>66.599999999999994</v>
      </c>
      <c r="G61" s="17">
        <f>12/12*C61</f>
        <v>44.7</v>
      </c>
      <c r="H61" s="9"/>
      <c r="I61" s="10"/>
      <c r="J61" s="10"/>
    </row>
    <row r="62" spans="1:10" x14ac:dyDescent="0.25">
      <c r="A62" s="21" t="s">
        <v>76</v>
      </c>
      <c r="B62" s="21"/>
      <c r="C62" s="17">
        <v>333.35</v>
      </c>
      <c r="D62" s="17">
        <v>282.45999999999998</v>
      </c>
      <c r="E62" s="17">
        <v>300.02</v>
      </c>
      <c r="F62" s="17">
        <v>295.08</v>
      </c>
      <c r="G62" s="17">
        <f>12/12*C62</f>
        <v>333.35</v>
      </c>
      <c r="H62" s="9"/>
      <c r="I62" s="10"/>
      <c r="J62" s="10"/>
    </row>
    <row r="63" spans="1:10" x14ac:dyDescent="0.25">
      <c r="A63" s="21" t="s">
        <v>77</v>
      </c>
      <c r="B63" s="21"/>
      <c r="C63" s="17">
        <v>167.62</v>
      </c>
      <c r="D63" s="17">
        <v>153.13</v>
      </c>
      <c r="E63" s="17">
        <v>120.96</v>
      </c>
      <c r="F63" s="17">
        <v>83.12</v>
      </c>
      <c r="G63" s="17">
        <f>12/12*C63</f>
        <v>167.62</v>
      </c>
      <c r="H63" s="9"/>
      <c r="I63" s="10"/>
      <c r="J63" s="10"/>
    </row>
    <row r="64" spans="1:10" x14ac:dyDescent="0.25">
      <c r="C64" s="9"/>
      <c r="D64" s="9"/>
      <c r="E64" s="9"/>
      <c r="F64" s="9"/>
      <c r="G64" s="9"/>
      <c r="H64" s="9"/>
      <c r="I64" s="10"/>
      <c r="J64" s="10"/>
    </row>
    <row r="65" spans="1:10" x14ac:dyDescent="0.25">
      <c r="C65" s="9"/>
      <c r="D65" s="9"/>
      <c r="E65" s="9"/>
      <c r="F65" s="9"/>
      <c r="G65" s="9"/>
      <c r="H65" s="9"/>
      <c r="I65" s="10"/>
      <c r="J65" s="10"/>
    </row>
    <row r="66" spans="1:10" x14ac:dyDescent="0.25">
      <c r="A66" s="22" t="s">
        <v>61</v>
      </c>
      <c r="B66" s="23"/>
      <c r="C66" s="9"/>
      <c r="D66" s="9"/>
      <c r="E66" s="9"/>
      <c r="F66" s="9"/>
      <c r="G66" s="9"/>
      <c r="H66" s="9"/>
      <c r="I66" s="10"/>
      <c r="J66" s="10"/>
    </row>
    <row r="67" spans="1:10" x14ac:dyDescent="0.25">
      <c r="A67" s="3" t="s">
        <v>78</v>
      </c>
      <c r="B67" s="1" t="s">
        <v>241</v>
      </c>
      <c r="C67" s="9"/>
      <c r="D67" s="9"/>
      <c r="E67" s="9"/>
      <c r="F67" s="9"/>
      <c r="G67" s="9"/>
      <c r="H67" s="9"/>
      <c r="I67" s="10"/>
      <c r="J67" s="10"/>
    </row>
    <row r="68" spans="1:10" x14ac:dyDescent="0.25">
      <c r="A68" s="3" t="s">
        <v>71</v>
      </c>
      <c r="B68" s="1" t="s">
        <v>80</v>
      </c>
      <c r="C68" s="9"/>
      <c r="D68" s="9"/>
      <c r="E68" s="9"/>
      <c r="F68" s="9"/>
      <c r="G68" s="9"/>
      <c r="H68" s="9"/>
      <c r="I68" s="10"/>
      <c r="J68" s="10"/>
    </row>
    <row r="69" spans="1:10" x14ac:dyDescent="0.25">
      <c r="A69" s="3" t="s">
        <v>72</v>
      </c>
      <c r="B69" s="1" t="s">
        <v>81</v>
      </c>
      <c r="C69" s="9"/>
      <c r="D69" s="9"/>
      <c r="E69" s="9"/>
      <c r="F69" s="9"/>
      <c r="G69" s="9"/>
      <c r="H69" s="9"/>
      <c r="I69" s="10"/>
      <c r="J69" s="10"/>
    </row>
    <row r="70" spans="1:10" x14ac:dyDescent="0.25">
      <c r="A70" s="3" t="s">
        <v>73</v>
      </c>
      <c r="B70" s="1" t="s">
        <v>82</v>
      </c>
      <c r="C70" s="9"/>
      <c r="D70" s="9"/>
      <c r="E70" s="9"/>
      <c r="F70" s="9"/>
      <c r="G70" s="9"/>
      <c r="H70" s="9"/>
      <c r="I70" s="10"/>
      <c r="J70" s="10"/>
    </row>
    <row r="71" spans="1:10" x14ac:dyDescent="0.25">
      <c r="C71" s="9"/>
      <c r="D71" s="9"/>
      <c r="E71" s="9"/>
      <c r="F71" s="9"/>
      <c r="G71" s="9"/>
      <c r="H71" s="9"/>
      <c r="I71" s="10"/>
      <c r="J71" s="10"/>
    </row>
    <row r="72" spans="1:10" x14ac:dyDescent="0.25">
      <c r="C72" s="9"/>
      <c r="D72" s="9"/>
      <c r="E72" s="9"/>
      <c r="F72" s="9"/>
      <c r="G72" s="9"/>
      <c r="H72" s="9"/>
      <c r="I72" s="10"/>
      <c r="J72" s="10"/>
    </row>
    <row r="73" spans="1:10" x14ac:dyDescent="0.25">
      <c r="C73" s="9"/>
      <c r="D73" s="9"/>
      <c r="E73" s="9"/>
      <c r="F73" s="9"/>
      <c r="G73" s="9"/>
      <c r="H73" s="9"/>
      <c r="I73" s="10"/>
      <c r="J73" s="10"/>
    </row>
    <row r="74" spans="1:10" x14ac:dyDescent="0.25">
      <c r="C74" s="9"/>
      <c r="D74" s="9"/>
      <c r="E74" s="9"/>
      <c r="F74" s="9"/>
      <c r="G74" s="9"/>
      <c r="H74" s="9"/>
      <c r="I74" s="10"/>
      <c r="J74" s="10"/>
    </row>
    <row r="75" spans="1:10" x14ac:dyDescent="0.25">
      <c r="C75" s="9"/>
      <c r="D75" s="9"/>
      <c r="E75" s="9"/>
      <c r="F75" s="9"/>
      <c r="G75" s="9"/>
      <c r="H75" s="9"/>
      <c r="I75" s="10"/>
      <c r="J75" s="10"/>
    </row>
    <row r="76" spans="1:10" x14ac:dyDescent="0.25">
      <c r="C76" s="9"/>
      <c r="D76" s="9"/>
      <c r="E76" s="9"/>
      <c r="F76" s="9"/>
      <c r="G76" s="9"/>
      <c r="H76" s="9"/>
      <c r="I76" s="10"/>
      <c r="J76" s="10"/>
    </row>
    <row r="77" spans="1:10" x14ac:dyDescent="0.25">
      <c r="C77" s="9"/>
      <c r="D77" s="9"/>
      <c r="E77" s="9"/>
      <c r="F77" s="9"/>
      <c r="G77" s="9"/>
      <c r="H77" s="9"/>
      <c r="I77" s="10"/>
      <c r="J77" s="10"/>
    </row>
    <row r="78" spans="1:10" x14ac:dyDescent="0.25">
      <c r="C78" s="9"/>
      <c r="D78" s="9"/>
      <c r="E78" s="9"/>
      <c r="F78" s="9"/>
      <c r="G78" s="9"/>
      <c r="H78" s="9"/>
      <c r="I78" s="10"/>
      <c r="J78" s="10"/>
    </row>
    <row r="79" spans="1:10" x14ac:dyDescent="0.25">
      <c r="C79" s="9"/>
      <c r="D79" s="9"/>
      <c r="E79" s="9"/>
      <c r="F79" s="9"/>
      <c r="G79" s="9"/>
      <c r="H79" s="9"/>
      <c r="I79" s="10"/>
      <c r="J79" s="10"/>
    </row>
  </sheetData>
  <mergeCells count="19">
    <mergeCell ref="C7:G7"/>
    <mergeCell ref="A39:B39"/>
    <mergeCell ref="A40:B40"/>
    <mergeCell ref="A45:B45"/>
    <mergeCell ref="A46:B46"/>
    <mergeCell ref="J54:J55"/>
    <mergeCell ref="A55:B55"/>
    <mergeCell ref="A59:B59"/>
    <mergeCell ref="A60:B60"/>
    <mergeCell ref="A47:B47"/>
    <mergeCell ref="A48:B48"/>
    <mergeCell ref="A53:B53"/>
    <mergeCell ref="A54:B54"/>
    <mergeCell ref="H54:H55"/>
    <mergeCell ref="A61:B61"/>
    <mergeCell ref="A62:B62"/>
    <mergeCell ref="A63:B63"/>
    <mergeCell ref="A66:B66"/>
    <mergeCell ref="I54:I55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J79"/>
  <sheetViews>
    <sheetView workbookViewId="0">
      <selection activeCell="H5" sqref="H5"/>
    </sheetView>
  </sheetViews>
  <sheetFormatPr defaultRowHeight="15" x14ac:dyDescent="0.25"/>
  <cols>
    <col min="1" max="1" width="28.42578125" bestFit="1" customWidth="1"/>
    <col min="2" max="2" width="59.5703125" bestFit="1" customWidth="1"/>
    <col min="3" max="3" width="12.7109375" bestFit="1" customWidth="1"/>
    <col min="4" max="4" width="30.140625" bestFit="1" customWidth="1"/>
    <col min="5" max="5" width="13.85546875" bestFit="1" customWidth="1"/>
    <col min="6" max="6" width="8.5703125" bestFit="1" customWidth="1"/>
    <col min="7" max="7" width="47.7109375" bestFit="1" customWidth="1"/>
    <col min="8" max="9" width="16.7109375" bestFit="1" customWidth="1"/>
    <col min="10" max="10" width="24.42578125" bestFit="1" customWidth="1"/>
  </cols>
  <sheetData>
    <row r="2" spans="1:10" ht="18.75" x14ac:dyDescent="0.3">
      <c r="A2" s="3" t="s">
        <v>0</v>
      </c>
      <c r="B2" s="4" t="s">
        <v>242</v>
      </c>
    </row>
    <row r="3" spans="1:10" x14ac:dyDescent="0.25">
      <c r="A3" s="3" t="s">
        <v>2</v>
      </c>
      <c r="B3" s="1" t="s">
        <v>3</v>
      </c>
    </row>
    <row r="4" spans="1:10" x14ac:dyDescent="0.25">
      <c r="A4" s="3" t="s">
        <v>4</v>
      </c>
      <c r="B4" s="20">
        <v>9241</v>
      </c>
    </row>
    <row r="7" spans="1:10" x14ac:dyDescent="0.25">
      <c r="C7" s="22" t="s">
        <v>5</v>
      </c>
      <c r="D7" s="21"/>
      <c r="E7" s="21"/>
      <c r="F7" s="21"/>
      <c r="G7" s="21"/>
    </row>
    <row r="8" spans="1:10" x14ac:dyDescent="0.25">
      <c r="A8" s="3" t="s">
        <v>6</v>
      </c>
      <c r="B8" s="3" t="s">
        <v>7</v>
      </c>
      <c r="C8" s="15" t="s">
        <v>8</v>
      </c>
      <c r="D8" s="15" t="s">
        <v>9</v>
      </c>
      <c r="E8" s="15" t="s">
        <v>10</v>
      </c>
      <c r="F8" s="15" t="s">
        <v>11</v>
      </c>
      <c r="G8" s="15" t="s">
        <v>12</v>
      </c>
      <c r="H8" s="15" t="s">
        <v>13</v>
      </c>
      <c r="I8" s="15" t="s">
        <v>14</v>
      </c>
      <c r="J8" s="15" t="s">
        <v>15</v>
      </c>
    </row>
    <row r="9" spans="1:10" x14ac:dyDescent="0.25">
      <c r="A9" s="1" t="s">
        <v>16</v>
      </c>
      <c r="B9" s="1" t="s">
        <v>17</v>
      </c>
      <c r="C9" s="11"/>
      <c r="D9" s="11"/>
      <c r="E9" s="11">
        <v>376</v>
      </c>
      <c r="F9" s="11"/>
      <c r="G9" s="11">
        <f t="shared" ref="G9:G47" si="0">SUM(C9:F9)</f>
        <v>376</v>
      </c>
      <c r="H9" s="17">
        <f t="shared" ref="H9:H47" si="1">ROUND(G9/9241,2)</f>
        <v>0.04</v>
      </c>
      <c r="I9" s="16">
        <f t="shared" ref="I9:I47" si="2">ROUND(G9/$G$48,3)</f>
        <v>0</v>
      </c>
      <c r="J9" s="16">
        <f>ROUND(G9/195-1,2)</f>
        <v>0.93</v>
      </c>
    </row>
    <row r="10" spans="1:10" x14ac:dyDescent="0.25">
      <c r="A10" s="1" t="s">
        <v>16</v>
      </c>
      <c r="B10" s="1" t="s">
        <v>19</v>
      </c>
      <c r="C10" s="11">
        <v>277850</v>
      </c>
      <c r="D10" s="11"/>
      <c r="E10" s="11">
        <v>10465</v>
      </c>
      <c r="F10" s="11"/>
      <c r="G10" s="11">
        <f t="shared" si="0"/>
        <v>288315</v>
      </c>
      <c r="H10" s="17">
        <f t="shared" si="1"/>
        <v>31.2</v>
      </c>
      <c r="I10" s="16">
        <f t="shared" si="2"/>
        <v>7.0999999999999994E-2</v>
      </c>
      <c r="J10" s="16">
        <f>ROUND(G10/281235-1,2)</f>
        <v>0.03</v>
      </c>
    </row>
    <row r="11" spans="1:10" x14ac:dyDescent="0.25">
      <c r="A11" s="1" t="s">
        <v>16</v>
      </c>
      <c r="B11" s="1" t="s">
        <v>20</v>
      </c>
      <c r="C11" s="11">
        <v>305010</v>
      </c>
      <c r="D11" s="11">
        <v>1370</v>
      </c>
      <c r="E11" s="11"/>
      <c r="F11" s="11"/>
      <c r="G11" s="11">
        <f t="shared" si="0"/>
        <v>306380</v>
      </c>
      <c r="H11" s="17">
        <f t="shared" si="1"/>
        <v>33.15</v>
      </c>
      <c r="I11" s="16">
        <f t="shared" si="2"/>
        <v>7.4999999999999997E-2</v>
      </c>
      <c r="J11" s="16">
        <f>ROUND(G11/303860-1,2)</f>
        <v>0.01</v>
      </c>
    </row>
    <row r="12" spans="1:10" x14ac:dyDescent="0.25">
      <c r="A12" s="1" t="s">
        <v>16</v>
      </c>
      <c r="B12" s="1" t="s">
        <v>87</v>
      </c>
      <c r="C12" s="11"/>
      <c r="D12" s="11"/>
      <c r="E12" s="11">
        <v>134</v>
      </c>
      <c r="F12" s="11"/>
      <c r="G12" s="11">
        <f t="shared" si="0"/>
        <v>134</v>
      </c>
      <c r="H12" s="17">
        <f t="shared" si="1"/>
        <v>0.01</v>
      </c>
      <c r="I12" s="16">
        <f t="shared" si="2"/>
        <v>0</v>
      </c>
      <c r="J12" s="16">
        <f>ROUND(G12/188-1,2)</f>
        <v>-0.28999999999999998</v>
      </c>
    </row>
    <row r="13" spans="1:10" x14ac:dyDescent="0.25">
      <c r="A13" s="1" t="s">
        <v>16</v>
      </c>
      <c r="B13" s="1" t="s">
        <v>21</v>
      </c>
      <c r="C13" s="11"/>
      <c r="D13" s="11"/>
      <c r="E13" s="11">
        <v>343</v>
      </c>
      <c r="F13" s="11"/>
      <c r="G13" s="11">
        <f t="shared" si="0"/>
        <v>343</v>
      </c>
      <c r="H13" s="17">
        <f t="shared" si="1"/>
        <v>0.04</v>
      </c>
      <c r="I13" s="16">
        <f t="shared" si="2"/>
        <v>0</v>
      </c>
      <c r="J13" s="16">
        <f>ROUND(G13/396-1,2)</f>
        <v>-0.13</v>
      </c>
    </row>
    <row r="14" spans="1:10" x14ac:dyDescent="0.25">
      <c r="A14" s="1" t="s">
        <v>16</v>
      </c>
      <c r="B14" s="1" t="s">
        <v>22</v>
      </c>
      <c r="C14" s="11"/>
      <c r="D14" s="11"/>
      <c r="E14" s="11">
        <v>3000</v>
      </c>
      <c r="F14" s="11"/>
      <c r="G14" s="11">
        <f t="shared" si="0"/>
        <v>3000</v>
      </c>
      <c r="H14" s="17">
        <f t="shared" si="1"/>
        <v>0.32</v>
      </c>
      <c r="I14" s="16">
        <f t="shared" si="2"/>
        <v>1E-3</v>
      </c>
      <c r="J14" s="16">
        <f>ROUND(G14/4700-1,2)</f>
        <v>-0.36</v>
      </c>
    </row>
    <row r="15" spans="1:10" x14ac:dyDescent="0.25">
      <c r="A15" s="1" t="s">
        <v>16</v>
      </c>
      <c r="B15" s="1" t="s">
        <v>23</v>
      </c>
      <c r="C15" s="11"/>
      <c r="D15" s="11"/>
      <c r="E15" s="11">
        <v>245600</v>
      </c>
      <c r="F15" s="11"/>
      <c r="G15" s="11">
        <f t="shared" si="0"/>
        <v>245600</v>
      </c>
      <c r="H15" s="17">
        <f t="shared" si="1"/>
        <v>26.58</v>
      </c>
      <c r="I15" s="16">
        <f t="shared" si="2"/>
        <v>0.06</v>
      </c>
      <c r="J15" s="16">
        <f>ROUND(G15/212980-1,2)</f>
        <v>0.15</v>
      </c>
    </row>
    <row r="16" spans="1:10" x14ac:dyDescent="0.25">
      <c r="A16" s="1" t="s">
        <v>16</v>
      </c>
      <c r="B16" s="1" t="s">
        <v>243</v>
      </c>
      <c r="C16" s="11"/>
      <c r="D16" s="11"/>
      <c r="E16" s="11"/>
      <c r="F16" s="11">
        <v>2.4</v>
      </c>
      <c r="G16" s="11">
        <f t="shared" si="0"/>
        <v>2.4</v>
      </c>
      <c r="H16" s="17">
        <f t="shared" si="1"/>
        <v>0</v>
      </c>
      <c r="I16" s="16">
        <f t="shared" si="2"/>
        <v>0</v>
      </c>
      <c r="J16" s="16"/>
    </row>
    <row r="17" spans="1:10" x14ac:dyDescent="0.25">
      <c r="A17" s="1" t="s">
        <v>16</v>
      </c>
      <c r="B17" s="1" t="s">
        <v>24</v>
      </c>
      <c r="C17" s="11">
        <v>422060</v>
      </c>
      <c r="D17" s="11"/>
      <c r="E17" s="11">
        <v>87980</v>
      </c>
      <c r="F17" s="11"/>
      <c r="G17" s="11">
        <f t="shared" si="0"/>
        <v>510040</v>
      </c>
      <c r="H17" s="17">
        <f t="shared" si="1"/>
        <v>55.19</v>
      </c>
      <c r="I17" s="16">
        <f t="shared" si="2"/>
        <v>0.125</v>
      </c>
      <c r="J17" s="16">
        <f>ROUND(G17/518340-1,2)</f>
        <v>-0.02</v>
      </c>
    </row>
    <row r="18" spans="1:10" x14ac:dyDescent="0.25">
      <c r="A18" s="1" t="s">
        <v>16</v>
      </c>
      <c r="B18" s="1" t="s">
        <v>25</v>
      </c>
      <c r="C18" s="11"/>
      <c r="D18" s="11"/>
      <c r="E18" s="11">
        <v>16045</v>
      </c>
      <c r="F18" s="11"/>
      <c r="G18" s="11">
        <f t="shared" si="0"/>
        <v>16045</v>
      </c>
      <c r="H18" s="17">
        <f t="shared" si="1"/>
        <v>1.74</v>
      </c>
      <c r="I18" s="16">
        <f t="shared" si="2"/>
        <v>4.0000000000000001E-3</v>
      </c>
      <c r="J18" s="16">
        <f>ROUND(G18/11650-1,2)</f>
        <v>0.38</v>
      </c>
    </row>
    <row r="19" spans="1:10" x14ac:dyDescent="0.25">
      <c r="A19" s="1" t="s">
        <v>16</v>
      </c>
      <c r="B19" s="1" t="s">
        <v>26</v>
      </c>
      <c r="C19" s="11">
        <v>674040</v>
      </c>
      <c r="D19" s="11"/>
      <c r="E19" s="11"/>
      <c r="F19" s="11">
        <v>2860</v>
      </c>
      <c r="G19" s="11">
        <f t="shared" si="0"/>
        <v>676900</v>
      </c>
      <c r="H19" s="17">
        <f t="shared" si="1"/>
        <v>73.25</v>
      </c>
      <c r="I19" s="16">
        <f t="shared" si="2"/>
        <v>0.16600000000000001</v>
      </c>
      <c r="J19" s="16">
        <f>ROUND(G19/636970-1,2)</f>
        <v>0.06</v>
      </c>
    </row>
    <row r="20" spans="1:10" x14ac:dyDescent="0.25">
      <c r="A20" s="1" t="s">
        <v>16</v>
      </c>
      <c r="B20" s="1" t="s">
        <v>27</v>
      </c>
      <c r="C20" s="11"/>
      <c r="D20" s="11"/>
      <c r="E20" s="11">
        <v>2864</v>
      </c>
      <c r="F20" s="11"/>
      <c r="G20" s="11">
        <f t="shared" si="0"/>
        <v>2864</v>
      </c>
      <c r="H20" s="17">
        <f t="shared" si="1"/>
        <v>0.31</v>
      </c>
      <c r="I20" s="16">
        <f t="shared" si="2"/>
        <v>1E-3</v>
      </c>
      <c r="J20" s="16">
        <f>ROUND(G20/2556-1,2)</f>
        <v>0.12</v>
      </c>
    </row>
    <row r="21" spans="1:10" x14ac:dyDescent="0.25">
      <c r="A21" s="1" t="s">
        <v>16</v>
      </c>
      <c r="B21" s="1" t="s">
        <v>28</v>
      </c>
      <c r="C21" s="11"/>
      <c r="D21" s="11"/>
      <c r="E21" s="11">
        <v>1462</v>
      </c>
      <c r="F21" s="11"/>
      <c r="G21" s="11">
        <f t="shared" si="0"/>
        <v>1462</v>
      </c>
      <c r="H21" s="17">
        <f t="shared" si="1"/>
        <v>0.16</v>
      </c>
      <c r="I21" s="16">
        <f t="shared" si="2"/>
        <v>0</v>
      </c>
      <c r="J21" s="16">
        <f>ROUND(G21/2026-1,2)</f>
        <v>-0.28000000000000003</v>
      </c>
    </row>
    <row r="22" spans="1:10" x14ac:dyDescent="0.25">
      <c r="A22" s="1" t="s">
        <v>16</v>
      </c>
      <c r="B22" s="1" t="s">
        <v>29</v>
      </c>
      <c r="C22" s="11"/>
      <c r="D22" s="11"/>
      <c r="E22" s="11">
        <v>208</v>
      </c>
      <c r="F22" s="11"/>
      <c r="G22" s="11">
        <f t="shared" si="0"/>
        <v>208</v>
      </c>
      <c r="H22" s="17">
        <f t="shared" si="1"/>
        <v>0.02</v>
      </c>
      <c r="I22" s="16">
        <f t="shared" si="2"/>
        <v>0</v>
      </c>
      <c r="J22" s="16">
        <f>ROUND(G22/323-1,2)</f>
        <v>-0.36</v>
      </c>
    </row>
    <row r="23" spans="1:10" x14ac:dyDescent="0.25">
      <c r="A23" s="1" t="s">
        <v>16</v>
      </c>
      <c r="B23" s="1" t="s">
        <v>30</v>
      </c>
      <c r="C23" s="11"/>
      <c r="D23" s="11"/>
      <c r="E23" s="11">
        <v>7400</v>
      </c>
      <c r="F23" s="11"/>
      <c r="G23" s="11">
        <f t="shared" si="0"/>
        <v>7400</v>
      </c>
      <c r="H23" s="17">
        <f t="shared" si="1"/>
        <v>0.8</v>
      </c>
      <c r="I23" s="16">
        <f t="shared" si="2"/>
        <v>2E-3</v>
      </c>
      <c r="J23" s="16">
        <f>ROUND(G23/9810-1,2)</f>
        <v>-0.25</v>
      </c>
    </row>
    <row r="24" spans="1:10" x14ac:dyDescent="0.25">
      <c r="A24" s="1" t="s">
        <v>16</v>
      </c>
      <c r="B24" s="1" t="s">
        <v>31</v>
      </c>
      <c r="C24" s="11"/>
      <c r="D24" s="11"/>
      <c r="E24" s="11">
        <v>2510</v>
      </c>
      <c r="F24" s="11"/>
      <c r="G24" s="11">
        <f t="shared" si="0"/>
        <v>2510</v>
      </c>
      <c r="H24" s="17">
        <f t="shared" si="1"/>
        <v>0.27</v>
      </c>
      <c r="I24" s="16">
        <f t="shared" si="2"/>
        <v>1E-3</v>
      </c>
      <c r="J24" s="16">
        <f>ROUND(G24/2630-1,2)</f>
        <v>-0.05</v>
      </c>
    </row>
    <row r="25" spans="1:10" x14ac:dyDescent="0.25">
      <c r="A25" s="1" t="s">
        <v>16</v>
      </c>
      <c r="B25" s="1" t="s">
        <v>32</v>
      </c>
      <c r="C25" s="11"/>
      <c r="D25" s="11"/>
      <c r="E25" s="11">
        <v>1270</v>
      </c>
      <c r="F25" s="11"/>
      <c r="G25" s="11">
        <f t="shared" si="0"/>
        <v>1270</v>
      </c>
      <c r="H25" s="17">
        <f t="shared" si="1"/>
        <v>0.14000000000000001</v>
      </c>
      <c r="I25" s="16">
        <f t="shared" si="2"/>
        <v>0</v>
      </c>
      <c r="J25" s="16">
        <f>ROUND(G25/1170-1,2)</f>
        <v>0.09</v>
      </c>
    </row>
    <row r="26" spans="1:10" x14ac:dyDescent="0.25">
      <c r="A26" s="1" t="s">
        <v>16</v>
      </c>
      <c r="B26" s="1" t="s">
        <v>33</v>
      </c>
      <c r="C26" s="11"/>
      <c r="D26" s="11"/>
      <c r="E26" s="11">
        <v>3940</v>
      </c>
      <c r="F26" s="11"/>
      <c r="G26" s="11">
        <f t="shared" si="0"/>
        <v>3940</v>
      </c>
      <c r="H26" s="17">
        <f t="shared" si="1"/>
        <v>0.43</v>
      </c>
      <c r="I26" s="16">
        <f t="shared" si="2"/>
        <v>1E-3</v>
      </c>
      <c r="J26" s="16">
        <f>ROUND(G26/5120-1,2)</f>
        <v>-0.23</v>
      </c>
    </row>
    <row r="27" spans="1:10" x14ac:dyDescent="0.25">
      <c r="A27" s="1" t="s">
        <v>16</v>
      </c>
      <c r="B27" s="1" t="s">
        <v>34</v>
      </c>
      <c r="C27" s="11"/>
      <c r="D27" s="11">
        <v>467</v>
      </c>
      <c r="E27" s="11">
        <v>677</v>
      </c>
      <c r="F27" s="11"/>
      <c r="G27" s="11">
        <f t="shared" si="0"/>
        <v>1144</v>
      </c>
      <c r="H27" s="17">
        <f t="shared" si="1"/>
        <v>0.12</v>
      </c>
      <c r="I27" s="16">
        <f t="shared" si="2"/>
        <v>0</v>
      </c>
      <c r="J27" s="16">
        <f>ROUND(G27/1066-1,2)</f>
        <v>7.0000000000000007E-2</v>
      </c>
    </row>
    <row r="28" spans="1:10" x14ac:dyDescent="0.25">
      <c r="A28" s="1" t="s">
        <v>16</v>
      </c>
      <c r="B28" s="1" t="s">
        <v>36</v>
      </c>
      <c r="C28" s="11"/>
      <c r="D28" s="11"/>
      <c r="E28" s="11">
        <v>644</v>
      </c>
      <c r="F28" s="11"/>
      <c r="G28" s="11">
        <f t="shared" si="0"/>
        <v>644</v>
      </c>
      <c r="H28" s="17">
        <f t="shared" si="1"/>
        <v>7.0000000000000007E-2</v>
      </c>
      <c r="I28" s="16">
        <f t="shared" si="2"/>
        <v>0</v>
      </c>
      <c r="J28" s="16">
        <f>ROUND(G28/1060-1,2)</f>
        <v>-0.39</v>
      </c>
    </row>
    <row r="29" spans="1:10" x14ac:dyDescent="0.25">
      <c r="A29" s="1" t="s">
        <v>16</v>
      </c>
      <c r="B29" s="1" t="s">
        <v>35</v>
      </c>
      <c r="C29" s="11"/>
      <c r="D29" s="11"/>
      <c r="E29" s="11">
        <v>342</v>
      </c>
      <c r="F29" s="11"/>
      <c r="G29" s="11">
        <f t="shared" si="0"/>
        <v>342</v>
      </c>
      <c r="H29" s="17">
        <f t="shared" si="1"/>
        <v>0.04</v>
      </c>
      <c r="I29" s="16">
        <f t="shared" si="2"/>
        <v>0</v>
      </c>
      <c r="J29" s="16"/>
    </row>
    <row r="30" spans="1:10" x14ac:dyDescent="0.25">
      <c r="A30" s="1" t="s">
        <v>16</v>
      </c>
      <c r="B30" s="1" t="s">
        <v>37</v>
      </c>
      <c r="C30" s="11"/>
      <c r="D30" s="11"/>
      <c r="E30" s="11">
        <v>3790</v>
      </c>
      <c r="F30" s="11"/>
      <c r="G30" s="11">
        <f t="shared" si="0"/>
        <v>3790</v>
      </c>
      <c r="H30" s="17">
        <f t="shared" si="1"/>
        <v>0.41</v>
      </c>
      <c r="I30" s="16">
        <f t="shared" si="2"/>
        <v>1E-3</v>
      </c>
      <c r="J30" s="16">
        <f>ROUND(G30/6830-1,2)</f>
        <v>-0.45</v>
      </c>
    </row>
    <row r="31" spans="1:10" x14ac:dyDescent="0.25">
      <c r="A31" s="1" t="s">
        <v>16</v>
      </c>
      <c r="B31" s="1" t="s">
        <v>39</v>
      </c>
      <c r="C31" s="11"/>
      <c r="D31" s="11"/>
      <c r="E31" s="11">
        <v>19878</v>
      </c>
      <c r="F31" s="11"/>
      <c r="G31" s="11">
        <f t="shared" si="0"/>
        <v>19878</v>
      </c>
      <c r="H31" s="17">
        <f t="shared" si="1"/>
        <v>2.15</v>
      </c>
      <c r="I31" s="16">
        <f t="shared" si="2"/>
        <v>5.0000000000000001E-3</v>
      </c>
      <c r="J31" s="16">
        <f>ROUND(G31/19200-1,2)</f>
        <v>0.04</v>
      </c>
    </row>
    <row r="32" spans="1:10" x14ac:dyDescent="0.25">
      <c r="A32" s="1" t="s">
        <v>16</v>
      </c>
      <c r="B32" s="1" t="s">
        <v>38</v>
      </c>
      <c r="C32" s="11"/>
      <c r="D32" s="11"/>
      <c r="E32" s="11">
        <v>5220</v>
      </c>
      <c r="F32" s="11"/>
      <c r="G32" s="11">
        <f t="shared" si="0"/>
        <v>5220</v>
      </c>
      <c r="H32" s="17">
        <f t="shared" si="1"/>
        <v>0.56000000000000005</v>
      </c>
      <c r="I32" s="16">
        <f t="shared" si="2"/>
        <v>1E-3</v>
      </c>
      <c r="J32" s="16">
        <f>ROUND(G32/12773-1,2)</f>
        <v>-0.59</v>
      </c>
    </row>
    <row r="33" spans="1:10" x14ac:dyDescent="0.25">
      <c r="A33" s="1" t="s">
        <v>16</v>
      </c>
      <c r="B33" s="1" t="s">
        <v>40</v>
      </c>
      <c r="C33" s="11"/>
      <c r="D33" s="11"/>
      <c r="E33" s="11">
        <v>242990</v>
      </c>
      <c r="F33" s="11"/>
      <c r="G33" s="11">
        <f t="shared" si="0"/>
        <v>242990</v>
      </c>
      <c r="H33" s="17">
        <f t="shared" si="1"/>
        <v>26.29</v>
      </c>
      <c r="I33" s="16">
        <f t="shared" si="2"/>
        <v>0.06</v>
      </c>
      <c r="J33" s="16">
        <f>ROUND(G33/233590-1,2)</f>
        <v>0.04</v>
      </c>
    </row>
    <row r="34" spans="1:10" x14ac:dyDescent="0.25">
      <c r="A34" s="1" t="s">
        <v>16</v>
      </c>
      <c r="B34" s="1" t="s">
        <v>41</v>
      </c>
      <c r="C34" s="11"/>
      <c r="D34" s="11"/>
      <c r="E34" s="11">
        <v>8660</v>
      </c>
      <c r="F34" s="11"/>
      <c r="G34" s="11">
        <f t="shared" si="0"/>
        <v>8660</v>
      </c>
      <c r="H34" s="17">
        <f t="shared" si="1"/>
        <v>0.94</v>
      </c>
      <c r="I34" s="16">
        <f t="shared" si="2"/>
        <v>2E-3</v>
      </c>
      <c r="J34" s="16">
        <f>ROUND(G34/7855-1,2)</f>
        <v>0.1</v>
      </c>
    </row>
    <row r="35" spans="1:10" x14ac:dyDescent="0.25">
      <c r="A35" s="1" t="s">
        <v>16</v>
      </c>
      <c r="B35" s="1" t="s">
        <v>42</v>
      </c>
      <c r="C35" s="11"/>
      <c r="D35" s="11"/>
      <c r="E35" s="11">
        <v>36000</v>
      </c>
      <c r="F35" s="11"/>
      <c r="G35" s="11">
        <f t="shared" si="0"/>
        <v>36000</v>
      </c>
      <c r="H35" s="17">
        <f t="shared" si="1"/>
        <v>3.9</v>
      </c>
      <c r="I35" s="16">
        <f t="shared" si="2"/>
        <v>8.9999999999999993E-3</v>
      </c>
      <c r="J35" s="16">
        <f>ROUND(G35/16620-1,2)</f>
        <v>1.17</v>
      </c>
    </row>
    <row r="36" spans="1:10" x14ac:dyDescent="0.25">
      <c r="A36" s="1" t="s">
        <v>16</v>
      </c>
      <c r="B36" s="1" t="s">
        <v>44</v>
      </c>
      <c r="C36" s="11"/>
      <c r="D36" s="11"/>
      <c r="E36" s="11">
        <v>868940</v>
      </c>
      <c r="F36" s="11">
        <v>1100</v>
      </c>
      <c r="G36" s="11">
        <f t="shared" si="0"/>
        <v>870040</v>
      </c>
      <c r="H36" s="17">
        <f t="shared" si="1"/>
        <v>94.15</v>
      </c>
      <c r="I36" s="16">
        <f t="shared" si="2"/>
        <v>0.21299999999999999</v>
      </c>
      <c r="J36" s="16">
        <f>ROUND(G36/725970-1,2)</f>
        <v>0.2</v>
      </c>
    </row>
    <row r="37" spans="1:10" x14ac:dyDescent="0.25">
      <c r="A37" s="1" t="s">
        <v>16</v>
      </c>
      <c r="B37" s="1" t="s">
        <v>96</v>
      </c>
      <c r="C37" s="11"/>
      <c r="D37" s="11"/>
      <c r="E37" s="11"/>
      <c r="F37" s="11"/>
      <c r="G37" s="11">
        <f t="shared" si="0"/>
        <v>0</v>
      </c>
      <c r="H37" s="17">
        <f t="shared" si="1"/>
        <v>0</v>
      </c>
      <c r="I37" s="16">
        <f t="shared" si="2"/>
        <v>0</v>
      </c>
      <c r="J37" s="16"/>
    </row>
    <row r="38" spans="1:10" x14ac:dyDescent="0.25">
      <c r="A38" s="1" t="s">
        <v>16</v>
      </c>
      <c r="B38" s="1" t="s">
        <v>244</v>
      </c>
      <c r="C38" s="11"/>
      <c r="D38" s="11"/>
      <c r="E38" s="11"/>
      <c r="F38" s="11"/>
      <c r="G38" s="11">
        <f t="shared" si="0"/>
        <v>0</v>
      </c>
      <c r="H38" s="17">
        <f t="shared" si="1"/>
        <v>0</v>
      </c>
      <c r="I38" s="16">
        <f t="shared" si="2"/>
        <v>0</v>
      </c>
      <c r="J38" s="16"/>
    </row>
    <row r="39" spans="1:10" x14ac:dyDescent="0.25">
      <c r="A39" s="1" t="s">
        <v>16</v>
      </c>
      <c r="B39" s="1" t="s">
        <v>97</v>
      </c>
      <c r="C39" s="11"/>
      <c r="D39" s="11"/>
      <c r="E39" s="11"/>
      <c r="F39" s="11"/>
      <c r="G39" s="11">
        <f t="shared" si="0"/>
        <v>0</v>
      </c>
      <c r="H39" s="17">
        <f t="shared" si="1"/>
        <v>0</v>
      </c>
      <c r="I39" s="16">
        <f t="shared" si="2"/>
        <v>0</v>
      </c>
      <c r="J39" s="16"/>
    </row>
    <row r="40" spans="1:10" x14ac:dyDescent="0.25">
      <c r="A40" s="1" t="s">
        <v>16</v>
      </c>
      <c r="B40" s="1" t="s">
        <v>161</v>
      </c>
      <c r="C40" s="11"/>
      <c r="D40" s="11"/>
      <c r="E40" s="11"/>
      <c r="F40" s="11"/>
      <c r="G40" s="11">
        <f t="shared" si="0"/>
        <v>0</v>
      </c>
      <c r="H40" s="17">
        <f t="shared" si="1"/>
        <v>0</v>
      </c>
      <c r="I40" s="16">
        <f t="shared" si="2"/>
        <v>0</v>
      </c>
      <c r="J40" s="16"/>
    </row>
    <row r="41" spans="1:10" x14ac:dyDescent="0.25">
      <c r="A41" s="1" t="s">
        <v>45</v>
      </c>
      <c r="B41" s="1" t="s">
        <v>46</v>
      </c>
      <c r="C41" s="11">
        <v>579440</v>
      </c>
      <c r="D41" s="11"/>
      <c r="E41" s="11"/>
      <c r="F41" s="11">
        <v>2890</v>
      </c>
      <c r="G41" s="11">
        <f t="shared" si="0"/>
        <v>582330</v>
      </c>
      <c r="H41" s="17">
        <f t="shared" si="1"/>
        <v>63.02</v>
      </c>
      <c r="I41" s="16">
        <f t="shared" si="2"/>
        <v>0.14299999999999999</v>
      </c>
      <c r="J41" s="16">
        <f>ROUND(G41/591560-1,2)</f>
        <v>-0.02</v>
      </c>
    </row>
    <row r="42" spans="1:10" x14ac:dyDescent="0.25">
      <c r="A42" s="1" t="s">
        <v>45</v>
      </c>
      <c r="B42" s="1" t="s">
        <v>48</v>
      </c>
      <c r="C42" s="11"/>
      <c r="D42" s="11"/>
      <c r="E42" s="11"/>
      <c r="F42" s="11">
        <v>36260</v>
      </c>
      <c r="G42" s="11">
        <f t="shared" si="0"/>
        <v>36260</v>
      </c>
      <c r="H42" s="17">
        <f t="shared" si="1"/>
        <v>3.92</v>
      </c>
      <c r="I42" s="16">
        <f t="shared" si="2"/>
        <v>8.9999999999999993E-3</v>
      </c>
      <c r="J42" s="16">
        <f>ROUND(G42/70160-1,2)</f>
        <v>-0.48</v>
      </c>
    </row>
    <row r="43" spans="1:10" x14ac:dyDescent="0.25">
      <c r="A43" s="1" t="s">
        <v>45</v>
      </c>
      <c r="B43" s="1" t="s">
        <v>47</v>
      </c>
      <c r="C43" s="11"/>
      <c r="D43" s="11"/>
      <c r="E43" s="11">
        <v>209440</v>
      </c>
      <c r="F43" s="11"/>
      <c r="G43" s="11">
        <f t="shared" si="0"/>
        <v>209440</v>
      </c>
      <c r="H43" s="17">
        <f t="shared" si="1"/>
        <v>22.66</v>
      </c>
      <c r="I43" s="16">
        <f t="shared" si="2"/>
        <v>5.0999999999999997E-2</v>
      </c>
      <c r="J43" s="16">
        <f>ROUND(G43/202580-1,2)</f>
        <v>0.03</v>
      </c>
    </row>
    <row r="44" spans="1:10" x14ac:dyDescent="0.25">
      <c r="A44" s="1" t="s">
        <v>49</v>
      </c>
      <c r="B44" s="1" t="s">
        <v>50</v>
      </c>
      <c r="C44" s="11"/>
      <c r="D44" s="11"/>
      <c r="E44" s="11"/>
      <c r="F44" s="11"/>
      <c r="G44" s="11">
        <f t="shared" si="0"/>
        <v>0</v>
      </c>
      <c r="H44" s="17">
        <f t="shared" si="1"/>
        <v>0</v>
      </c>
      <c r="I44" s="16">
        <f t="shared" si="2"/>
        <v>0</v>
      </c>
      <c r="J44" s="16">
        <f>ROUND(G44/116-1,2)</f>
        <v>-1</v>
      </c>
    </row>
    <row r="45" spans="1:10" x14ac:dyDescent="0.25">
      <c r="A45" s="1" t="s">
        <v>49</v>
      </c>
      <c r="B45" s="1" t="s">
        <v>51</v>
      </c>
      <c r="C45" s="11"/>
      <c r="D45" s="11"/>
      <c r="E45" s="11"/>
      <c r="F45" s="11"/>
      <c r="G45" s="11">
        <f t="shared" si="0"/>
        <v>0</v>
      </c>
      <c r="H45" s="17">
        <f t="shared" si="1"/>
        <v>0</v>
      </c>
      <c r="I45" s="16">
        <f t="shared" si="2"/>
        <v>0</v>
      </c>
      <c r="J45" s="16">
        <f>ROUND(G45/232-1,2)</f>
        <v>-1</v>
      </c>
    </row>
    <row r="46" spans="1:10" x14ac:dyDescent="0.25">
      <c r="A46" s="1" t="s">
        <v>49</v>
      </c>
      <c r="B46" s="1" t="s">
        <v>52</v>
      </c>
      <c r="C46" s="11"/>
      <c r="D46" s="11"/>
      <c r="E46" s="11"/>
      <c r="F46" s="11"/>
      <c r="G46" s="11">
        <f t="shared" si="0"/>
        <v>0</v>
      </c>
      <c r="H46" s="17">
        <f t="shared" si="1"/>
        <v>0</v>
      </c>
      <c r="I46" s="16">
        <f t="shared" si="2"/>
        <v>0</v>
      </c>
      <c r="J46" s="16"/>
    </row>
    <row r="47" spans="1:10" x14ac:dyDescent="0.25">
      <c r="A47" s="1" t="s">
        <v>49</v>
      </c>
      <c r="B47" s="1" t="s">
        <v>88</v>
      </c>
      <c r="C47" s="11"/>
      <c r="D47" s="11"/>
      <c r="E47" s="11"/>
      <c r="F47" s="11"/>
      <c r="G47" s="11">
        <f t="shared" si="0"/>
        <v>0</v>
      </c>
      <c r="H47" s="17">
        <f t="shared" si="1"/>
        <v>0</v>
      </c>
      <c r="I47" s="16">
        <f t="shared" si="2"/>
        <v>0</v>
      </c>
      <c r="J47" s="16"/>
    </row>
    <row r="48" spans="1:10" x14ac:dyDescent="0.25">
      <c r="A48" s="26" t="s">
        <v>12</v>
      </c>
      <c r="B48" s="26"/>
      <c r="C48" s="12">
        <f t="shared" ref="C48:H48" si="3">SUM(C8:C47)</f>
        <v>2258400</v>
      </c>
      <c r="D48" s="12">
        <f t="shared" si="3"/>
        <v>1837</v>
      </c>
      <c r="E48" s="12">
        <f t="shared" si="3"/>
        <v>1780178</v>
      </c>
      <c r="F48" s="12">
        <f t="shared" si="3"/>
        <v>43112.4</v>
      </c>
      <c r="G48" s="12">
        <f t="shared" si="3"/>
        <v>4083527.4</v>
      </c>
      <c r="H48" s="15">
        <f t="shared" si="3"/>
        <v>441.88</v>
      </c>
      <c r="I48" s="18"/>
      <c r="J48" s="18"/>
    </row>
    <row r="49" spans="1:10" x14ac:dyDescent="0.25">
      <c r="A49" s="26" t="s">
        <v>14</v>
      </c>
      <c r="B49" s="26"/>
      <c r="C49" s="13">
        <f>ROUND(C48/G48,2)</f>
        <v>0.55000000000000004</v>
      </c>
      <c r="D49" s="13">
        <f>ROUND(D48/G48,2)</f>
        <v>0</v>
      </c>
      <c r="E49" s="13">
        <f>ROUND(E48/G48,2)</f>
        <v>0.44</v>
      </c>
      <c r="F49" s="13">
        <f>ROUND(F48/G48,2)</f>
        <v>0.01</v>
      </c>
      <c r="G49" s="14"/>
      <c r="H49" s="14"/>
      <c r="I49" s="18"/>
      <c r="J49" s="18"/>
    </row>
    <row r="50" spans="1:10" x14ac:dyDescent="0.25">
      <c r="A50" s="2" t="s">
        <v>53</v>
      </c>
      <c r="B50" s="2"/>
      <c r="C50" s="14"/>
      <c r="D50" s="14"/>
      <c r="E50" s="14"/>
      <c r="F50" s="14"/>
      <c r="G50" s="14"/>
      <c r="H50" s="14"/>
      <c r="I50" s="18"/>
      <c r="J50" s="18"/>
    </row>
    <row r="51" spans="1:10" x14ac:dyDescent="0.25">
      <c r="C51" s="9"/>
      <c r="D51" s="9"/>
      <c r="E51" s="9"/>
      <c r="F51" s="9"/>
      <c r="G51" s="9"/>
      <c r="H51" s="9"/>
      <c r="I51" s="10"/>
      <c r="J51" s="10"/>
    </row>
    <row r="52" spans="1:10" x14ac:dyDescent="0.25">
      <c r="C52" s="9"/>
      <c r="D52" s="9"/>
      <c r="E52" s="9"/>
      <c r="F52" s="9"/>
      <c r="G52" s="9"/>
      <c r="H52" s="9"/>
      <c r="I52" s="10"/>
      <c r="J52" s="10"/>
    </row>
    <row r="53" spans="1:10" x14ac:dyDescent="0.25">
      <c r="C53" s="9"/>
      <c r="D53" s="9"/>
      <c r="E53" s="9"/>
      <c r="F53" s="9"/>
      <c r="G53" s="9"/>
      <c r="H53" s="9"/>
      <c r="I53" s="10"/>
      <c r="J53" s="10"/>
    </row>
    <row r="54" spans="1:10" x14ac:dyDescent="0.25">
      <c r="A54" s="26" t="s">
        <v>54</v>
      </c>
      <c r="B54" s="26"/>
      <c r="C54" s="12" t="s">
        <v>8</v>
      </c>
      <c r="D54" s="12" t="s">
        <v>9</v>
      </c>
      <c r="E54" s="12" t="s">
        <v>10</v>
      </c>
      <c r="F54" s="12" t="s">
        <v>11</v>
      </c>
      <c r="G54" s="12" t="s">
        <v>12</v>
      </c>
      <c r="H54" s="15" t="s">
        <v>13</v>
      </c>
      <c r="I54" s="18"/>
      <c r="J54" s="18"/>
    </row>
    <row r="55" spans="1:10" x14ac:dyDescent="0.25">
      <c r="A55" s="21" t="s">
        <v>55</v>
      </c>
      <c r="B55" s="21"/>
      <c r="C55" s="11">
        <v>1678960</v>
      </c>
      <c r="D55" s="11">
        <v>1837</v>
      </c>
      <c r="E55" s="11">
        <v>1570738</v>
      </c>
      <c r="F55" s="11">
        <v>3962.4</v>
      </c>
      <c r="G55" s="11">
        <f>SUM(C55:F55)</f>
        <v>3255497.4</v>
      </c>
      <c r="H55" s="17">
        <f>ROUND(G55/9241,2)</f>
        <v>352.29</v>
      </c>
      <c r="I55" s="10"/>
      <c r="J55" s="10"/>
    </row>
    <row r="56" spans="1:10" x14ac:dyDescent="0.25">
      <c r="A56" s="21" t="s">
        <v>56</v>
      </c>
      <c r="B56" s="21"/>
      <c r="C56" s="11">
        <v>579440</v>
      </c>
      <c r="D56" s="11">
        <v>0</v>
      </c>
      <c r="E56" s="11">
        <v>209440</v>
      </c>
      <c r="F56" s="11">
        <v>39150</v>
      </c>
      <c r="G56" s="11">
        <f>SUM(C56:F56)</f>
        <v>828030</v>
      </c>
      <c r="H56" s="17">
        <f>ROUND(G56/9241,2)</f>
        <v>89.6</v>
      </c>
      <c r="I56" s="10"/>
      <c r="J56" s="10"/>
    </row>
    <row r="57" spans="1:10" x14ac:dyDescent="0.25">
      <c r="A57" s="21" t="s">
        <v>57</v>
      </c>
      <c r="B57" s="21"/>
      <c r="C57" s="11">
        <v>0</v>
      </c>
      <c r="D57" s="11">
        <v>0</v>
      </c>
      <c r="E57" s="11">
        <v>0</v>
      </c>
      <c r="F57" s="11">
        <v>0</v>
      </c>
      <c r="G57" s="11">
        <f>SUM(C57:F57)</f>
        <v>0</v>
      </c>
      <c r="H57" s="17">
        <f>ROUND(G57/9241,2)</f>
        <v>0</v>
      </c>
      <c r="I57" s="10"/>
      <c r="J57" s="10"/>
    </row>
    <row r="58" spans="1:10" x14ac:dyDescent="0.25">
      <c r="C58" s="9"/>
      <c r="D58" s="9"/>
      <c r="E58" s="9"/>
      <c r="F58" s="9"/>
      <c r="G58" s="9"/>
      <c r="H58" s="9"/>
      <c r="I58" s="10"/>
      <c r="J58" s="10"/>
    </row>
    <row r="59" spans="1:10" x14ac:dyDescent="0.25">
      <c r="C59" s="9"/>
      <c r="D59" s="9"/>
      <c r="E59" s="9"/>
      <c r="F59" s="9"/>
      <c r="G59" s="9"/>
      <c r="H59" s="9"/>
      <c r="I59" s="10"/>
      <c r="J59" s="10"/>
    </row>
    <row r="60" spans="1:10" x14ac:dyDescent="0.25">
      <c r="C60" s="9"/>
      <c r="D60" s="9"/>
      <c r="E60" s="9"/>
      <c r="F60" s="9"/>
      <c r="G60" s="9"/>
      <c r="H60" s="9"/>
      <c r="I60" s="10"/>
      <c r="J60" s="10"/>
    </row>
    <row r="61" spans="1:10" x14ac:dyDescent="0.25">
      <c r="C61" s="9"/>
      <c r="D61" s="9"/>
      <c r="E61" s="9"/>
      <c r="F61" s="9"/>
      <c r="G61" s="9"/>
      <c r="H61" s="9"/>
      <c r="I61" s="10"/>
      <c r="J61" s="10"/>
    </row>
    <row r="62" spans="1:10" x14ac:dyDescent="0.25">
      <c r="A62" s="26" t="s">
        <v>58</v>
      </c>
      <c r="B62" s="26"/>
      <c r="C62" s="15" t="s">
        <v>2</v>
      </c>
      <c r="D62" s="15">
        <v>2024</v>
      </c>
      <c r="E62" s="15" t="s">
        <v>60</v>
      </c>
      <c r="F62" s="14"/>
      <c r="G62" s="15" t="s">
        <v>61</v>
      </c>
      <c r="H62" s="15" t="s">
        <v>2</v>
      </c>
      <c r="I62" s="13" t="s">
        <v>62</v>
      </c>
      <c r="J62" s="13" t="s">
        <v>60</v>
      </c>
    </row>
    <row r="63" spans="1:10" x14ac:dyDescent="0.25">
      <c r="A63" s="21" t="s">
        <v>59</v>
      </c>
      <c r="B63" s="21"/>
      <c r="C63" s="16">
        <f>ROUND(0.8482, 4)</f>
        <v>0.84819999999999995</v>
      </c>
      <c r="D63" s="16">
        <f>ROUND(0.8308, 4)</f>
        <v>0.83079999999999998</v>
      </c>
      <c r="E63" s="16">
        <f>ROUND(0.7856, 4)</f>
        <v>0.78559999999999997</v>
      </c>
      <c r="F63" s="9"/>
      <c r="G63" s="15" t="s">
        <v>63</v>
      </c>
      <c r="H63" s="27" t="s">
        <v>64</v>
      </c>
      <c r="I63" s="24" t="s">
        <v>65</v>
      </c>
      <c r="J63" s="24" t="s">
        <v>66</v>
      </c>
    </row>
    <row r="64" spans="1:10" x14ac:dyDescent="0.25">
      <c r="A64" s="21" t="s">
        <v>67</v>
      </c>
      <c r="B64" s="21"/>
      <c r="C64" s="16">
        <f>ROUND(0.8482, 4)</f>
        <v>0.84819999999999995</v>
      </c>
      <c r="D64" s="16">
        <f>ROUND(0.821, 4)</f>
        <v>0.82099999999999995</v>
      </c>
      <c r="E64" s="16">
        <f>ROUND(0.7702, 4)</f>
        <v>0.7702</v>
      </c>
      <c r="F64" s="9"/>
      <c r="G64" s="15" t="s">
        <v>68</v>
      </c>
      <c r="H64" s="28"/>
      <c r="I64" s="25"/>
      <c r="J64" s="25"/>
    </row>
    <row r="65" spans="1:10" x14ac:dyDescent="0.25">
      <c r="C65" s="9"/>
      <c r="D65" s="9"/>
      <c r="E65" s="9"/>
      <c r="F65" s="9"/>
      <c r="G65" s="9"/>
      <c r="H65" s="9"/>
      <c r="I65" s="10"/>
      <c r="J65" s="10"/>
    </row>
    <row r="66" spans="1:10" x14ac:dyDescent="0.25">
      <c r="C66" s="9"/>
      <c r="D66" s="9"/>
      <c r="E66" s="9"/>
      <c r="F66" s="9"/>
      <c r="G66" s="9"/>
      <c r="H66" s="9"/>
      <c r="I66" s="10"/>
      <c r="J66" s="10"/>
    </row>
    <row r="67" spans="1:10" x14ac:dyDescent="0.25">
      <c r="C67" s="9"/>
      <c r="D67" s="9"/>
      <c r="E67" s="9"/>
      <c r="F67" s="9"/>
      <c r="G67" s="9"/>
      <c r="H67" s="9"/>
      <c r="I67" s="10"/>
      <c r="J67" s="10"/>
    </row>
    <row r="68" spans="1:10" x14ac:dyDescent="0.25">
      <c r="A68" s="26" t="s">
        <v>69</v>
      </c>
      <c r="B68" s="26"/>
      <c r="C68" s="15" t="s">
        <v>2</v>
      </c>
      <c r="D68" s="15" t="s">
        <v>245</v>
      </c>
      <c r="E68" s="15" t="s">
        <v>71</v>
      </c>
      <c r="F68" s="15" t="s">
        <v>72</v>
      </c>
      <c r="G68" s="15" t="s">
        <v>73</v>
      </c>
      <c r="H68" s="14"/>
      <c r="I68" s="18"/>
      <c r="J68" s="18"/>
    </row>
    <row r="69" spans="1:10" x14ac:dyDescent="0.25">
      <c r="A69" s="21" t="s">
        <v>74</v>
      </c>
      <c r="B69" s="21"/>
      <c r="C69" s="17">
        <v>63.02</v>
      </c>
      <c r="D69" s="17">
        <v>61.05</v>
      </c>
      <c r="E69" s="17">
        <v>96.15</v>
      </c>
      <c r="F69" s="17">
        <v>57.94</v>
      </c>
      <c r="G69" s="17">
        <f>12/12*C69</f>
        <v>63.02</v>
      </c>
      <c r="H69" s="9"/>
      <c r="I69" s="10"/>
      <c r="J69" s="10"/>
    </row>
    <row r="70" spans="1:10" x14ac:dyDescent="0.25">
      <c r="A70" s="21" t="s">
        <v>75</v>
      </c>
      <c r="B70" s="21"/>
      <c r="C70" s="17">
        <v>73.25</v>
      </c>
      <c r="D70" s="17">
        <v>69.959999999999994</v>
      </c>
      <c r="E70" s="17">
        <v>62.28</v>
      </c>
      <c r="F70" s="17">
        <v>66.599999999999994</v>
      </c>
      <c r="G70" s="17">
        <f>12/12*C70</f>
        <v>73.25</v>
      </c>
      <c r="H70" s="9"/>
      <c r="I70" s="10"/>
      <c r="J70" s="10"/>
    </row>
    <row r="71" spans="1:10" x14ac:dyDescent="0.25">
      <c r="A71" s="21" t="s">
        <v>76</v>
      </c>
      <c r="B71" s="21"/>
      <c r="C71" s="17">
        <v>352.29</v>
      </c>
      <c r="D71" s="17">
        <v>322.14</v>
      </c>
      <c r="E71" s="17">
        <v>300.02</v>
      </c>
      <c r="F71" s="17">
        <v>295.08</v>
      </c>
      <c r="G71" s="17">
        <f>12/12*C71</f>
        <v>352.29</v>
      </c>
      <c r="H71" s="9"/>
      <c r="I71" s="10"/>
      <c r="J71" s="10"/>
    </row>
    <row r="72" spans="1:10" x14ac:dyDescent="0.25">
      <c r="A72" s="21" t="s">
        <v>77</v>
      </c>
      <c r="B72" s="21"/>
      <c r="C72" s="17">
        <v>89.6</v>
      </c>
      <c r="D72" s="17">
        <v>86.92</v>
      </c>
      <c r="E72" s="17">
        <v>120.96</v>
      </c>
      <c r="F72" s="17">
        <v>83.12</v>
      </c>
      <c r="G72" s="17">
        <f>12/12*C72</f>
        <v>89.6</v>
      </c>
      <c r="H72" s="9"/>
      <c r="I72" s="10"/>
      <c r="J72" s="10"/>
    </row>
    <row r="73" spans="1:10" x14ac:dyDescent="0.25">
      <c r="C73" s="9"/>
      <c r="D73" s="9"/>
      <c r="E73" s="9"/>
      <c r="F73" s="9"/>
      <c r="G73" s="9"/>
      <c r="H73" s="9"/>
      <c r="I73" s="10"/>
      <c r="J73" s="10"/>
    </row>
    <row r="74" spans="1:10" x14ac:dyDescent="0.25">
      <c r="C74" s="9"/>
      <c r="D74" s="9"/>
      <c r="E74" s="9"/>
      <c r="F74" s="9"/>
      <c r="G74" s="9"/>
      <c r="H74" s="9"/>
      <c r="I74" s="10"/>
      <c r="J74" s="10"/>
    </row>
    <row r="75" spans="1:10" x14ac:dyDescent="0.25">
      <c r="A75" s="22" t="s">
        <v>61</v>
      </c>
      <c r="B75" s="23"/>
    </row>
    <row r="76" spans="1:10" x14ac:dyDescent="0.25">
      <c r="A76" s="3" t="s">
        <v>78</v>
      </c>
      <c r="B76" s="1" t="s">
        <v>246</v>
      </c>
    </row>
    <row r="77" spans="1:10" x14ac:dyDescent="0.25">
      <c r="A77" s="3" t="s">
        <v>71</v>
      </c>
      <c r="B77" s="1" t="s">
        <v>80</v>
      </c>
    </row>
    <row r="78" spans="1:10" x14ac:dyDescent="0.25">
      <c r="A78" s="3" t="s">
        <v>72</v>
      </c>
      <c r="B78" s="1" t="s">
        <v>81</v>
      </c>
    </row>
    <row r="79" spans="1:10" x14ac:dyDescent="0.25">
      <c r="A79" s="3" t="s">
        <v>73</v>
      </c>
      <c r="B79" s="1" t="s">
        <v>82</v>
      </c>
    </row>
  </sheetData>
  <mergeCells count="19">
    <mergeCell ref="C7:G7"/>
    <mergeCell ref="A48:B48"/>
    <mergeCell ref="A49:B49"/>
    <mergeCell ref="A54:B54"/>
    <mergeCell ref="A55:B55"/>
    <mergeCell ref="J63:J64"/>
    <mergeCell ref="A64:B64"/>
    <mergeCell ref="A68:B68"/>
    <mergeCell ref="A69:B69"/>
    <mergeCell ref="A56:B56"/>
    <mergeCell ref="A57:B57"/>
    <mergeCell ref="A62:B62"/>
    <mergeCell ref="A63:B63"/>
    <mergeCell ref="H63:H64"/>
    <mergeCell ref="A70:B70"/>
    <mergeCell ref="A71:B71"/>
    <mergeCell ref="A72:B72"/>
    <mergeCell ref="A75:B75"/>
    <mergeCell ref="I63:I64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J74"/>
  <sheetViews>
    <sheetView workbookViewId="0">
      <selection activeCell="H5" sqref="H5"/>
    </sheetView>
  </sheetViews>
  <sheetFormatPr defaultRowHeight="15" x14ac:dyDescent="0.25"/>
  <cols>
    <col min="1" max="1" width="28.42578125" bestFit="1" customWidth="1"/>
    <col min="2" max="2" width="59.5703125" bestFit="1" customWidth="1"/>
    <col min="3" max="3" width="12.7109375" bestFit="1" customWidth="1"/>
    <col min="4" max="4" width="23" bestFit="1" customWidth="1"/>
    <col min="5" max="5" width="13.85546875" bestFit="1" customWidth="1"/>
    <col min="6" max="6" width="8.5703125" bestFit="1" customWidth="1"/>
    <col min="7" max="7" width="47.7109375" bestFit="1" customWidth="1"/>
    <col min="8" max="9" width="16.7109375" bestFit="1" customWidth="1"/>
    <col min="10" max="10" width="24.42578125" bestFit="1" customWidth="1"/>
  </cols>
  <sheetData>
    <row r="2" spans="1:10" ht="18.75" x14ac:dyDescent="0.3">
      <c r="A2" s="3" t="s">
        <v>0</v>
      </c>
      <c r="B2" s="4" t="s">
        <v>247</v>
      </c>
    </row>
    <row r="3" spans="1:10" x14ac:dyDescent="0.25">
      <c r="A3" s="3" t="s">
        <v>2</v>
      </c>
      <c r="B3" s="1" t="s">
        <v>3</v>
      </c>
    </row>
    <row r="4" spans="1:10" x14ac:dyDescent="0.25">
      <c r="A4" s="3" t="s">
        <v>4</v>
      </c>
      <c r="B4" s="20">
        <v>2340</v>
      </c>
    </row>
    <row r="7" spans="1:10" x14ac:dyDescent="0.25">
      <c r="C7" s="22" t="s">
        <v>5</v>
      </c>
      <c r="D7" s="21"/>
      <c r="E7" s="21"/>
      <c r="F7" s="21"/>
      <c r="G7" s="21"/>
    </row>
    <row r="8" spans="1:10" x14ac:dyDescent="0.25">
      <c r="A8" s="3" t="s">
        <v>6</v>
      </c>
      <c r="B8" s="3" t="s">
        <v>7</v>
      </c>
      <c r="C8" s="15" t="s">
        <v>8</v>
      </c>
      <c r="D8" s="15" t="s">
        <v>9</v>
      </c>
      <c r="E8" s="15" t="s">
        <v>10</v>
      </c>
      <c r="F8" s="15" t="s">
        <v>11</v>
      </c>
      <c r="G8" s="15" t="s">
        <v>12</v>
      </c>
      <c r="H8" s="15" t="s">
        <v>13</v>
      </c>
      <c r="I8" s="15" t="s">
        <v>14</v>
      </c>
      <c r="J8" s="15" t="s">
        <v>15</v>
      </c>
    </row>
    <row r="9" spans="1:10" x14ac:dyDescent="0.25">
      <c r="A9" s="1" t="s">
        <v>49</v>
      </c>
      <c r="B9" s="1" t="s">
        <v>50</v>
      </c>
      <c r="C9" s="11"/>
      <c r="D9" s="11"/>
      <c r="E9" s="11"/>
      <c r="F9" s="11">
        <v>19</v>
      </c>
      <c r="G9" s="11">
        <f t="shared" ref="G9:G42" si="0">SUM(C9:F9)</f>
        <v>19</v>
      </c>
      <c r="H9" s="17">
        <f t="shared" ref="H9:H42" si="1">ROUND(G9/2340,2)</f>
        <v>0.01</v>
      </c>
      <c r="I9" s="16">
        <f t="shared" ref="I9:I42" si="2">ROUND(G9/$G$43,3)</f>
        <v>0</v>
      </c>
      <c r="J9" s="16"/>
    </row>
    <row r="10" spans="1:10" x14ac:dyDescent="0.25">
      <c r="A10" s="1" t="s">
        <v>49</v>
      </c>
      <c r="B10" s="1" t="s">
        <v>51</v>
      </c>
      <c r="C10" s="11"/>
      <c r="D10" s="11"/>
      <c r="E10" s="11"/>
      <c r="F10" s="11">
        <v>220</v>
      </c>
      <c r="G10" s="11">
        <f t="shared" si="0"/>
        <v>220</v>
      </c>
      <c r="H10" s="17">
        <f t="shared" si="1"/>
        <v>0.09</v>
      </c>
      <c r="I10" s="16">
        <f t="shared" si="2"/>
        <v>0</v>
      </c>
      <c r="J10" s="16"/>
    </row>
    <row r="11" spans="1:10" x14ac:dyDescent="0.25">
      <c r="A11" s="1" t="s">
        <v>49</v>
      </c>
      <c r="B11" s="1" t="s">
        <v>88</v>
      </c>
      <c r="C11" s="11"/>
      <c r="D11" s="11"/>
      <c r="E11" s="11"/>
      <c r="F11" s="11"/>
      <c r="G11" s="11">
        <f t="shared" si="0"/>
        <v>0</v>
      </c>
      <c r="H11" s="17">
        <f t="shared" si="1"/>
        <v>0</v>
      </c>
      <c r="I11" s="16">
        <f t="shared" si="2"/>
        <v>0</v>
      </c>
      <c r="J11" s="16"/>
    </row>
    <row r="12" spans="1:10" x14ac:dyDescent="0.25">
      <c r="A12" s="1" t="s">
        <v>49</v>
      </c>
      <c r="B12" s="1" t="s">
        <v>52</v>
      </c>
      <c r="C12" s="11"/>
      <c r="D12" s="11"/>
      <c r="E12" s="11"/>
      <c r="F12" s="11"/>
      <c r="G12" s="11">
        <f t="shared" si="0"/>
        <v>0</v>
      </c>
      <c r="H12" s="17">
        <f t="shared" si="1"/>
        <v>0</v>
      </c>
      <c r="I12" s="16">
        <f t="shared" si="2"/>
        <v>0</v>
      </c>
      <c r="J12" s="16">
        <f>ROUND(G12/13-1,2)</f>
        <v>-1</v>
      </c>
    </row>
    <row r="13" spans="1:10" x14ac:dyDescent="0.25">
      <c r="A13" s="1" t="s">
        <v>16</v>
      </c>
      <c r="B13" s="1" t="s">
        <v>19</v>
      </c>
      <c r="C13" s="11">
        <v>85920</v>
      </c>
      <c r="D13" s="11"/>
      <c r="E13" s="11">
        <v>1460</v>
      </c>
      <c r="F13" s="11"/>
      <c r="G13" s="11">
        <f t="shared" si="0"/>
        <v>87380</v>
      </c>
      <c r="H13" s="17">
        <f t="shared" si="1"/>
        <v>37.340000000000003</v>
      </c>
      <c r="I13" s="16">
        <f t="shared" si="2"/>
        <v>9.2999999999999999E-2</v>
      </c>
      <c r="J13" s="16">
        <f>ROUND(G13/90590-1,2)</f>
        <v>-0.04</v>
      </c>
    </row>
    <row r="14" spans="1:10" x14ac:dyDescent="0.25">
      <c r="A14" s="1" t="s">
        <v>16</v>
      </c>
      <c r="B14" s="1" t="s">
        <v>20</v>
      </c>
      <c r="C14" s="11">
        <v>82610</v>
      </c>
      <c r="D14" s="11">
        <v>1660</v>
      </c>
      <c r="E14" s="11">
        <v>1960</v>
      </c>
      <c r="F14" s="11"/>
      <c r="G14" s="11">
        <f t="shared" si="0"/>
        <v>86230</v>
      </c>
      <c r="H14" s="17">
        <f t="shared" si="1"/>
        <v>36.85</v>
      </c>
      <c r="I14" s="16">
        <f t="shared" si="2"/>
        <v>9.1999999999999998E-2</v>
      </c>
      <c r="J14" s="16">
        <f>ROUND(G14/78435-1,2)</f>
        <v>0.1</v>
      </c>
    </row>
    <row r="15" spans="1:10" x14ac:dyDescent="0.25">
      <c r="A15" s="1" t="s">
        <v>16</v>
      </c>
      <c r="B15" s="1" t="s">
        <v>21</v>
      </c>
      <c r="C15" s="11"/>
      <c r="D15" s="11"/>
      <c r="E15" s="11">
        <v>277</v>
      </c>
      <c r="F15" s="11"/>
      <c r="G15" s="11">
        <f t="shared" si="0"/>
        <v>277</v>
      </c>
      <c r="H15" s="17">
        <f t="shared" si="1"/>
        <v>0.12</v>
      </c>
      <c r="I15" s="16">
        <f t="shared" si="2"/>
        <v>0</v>
      </c>
      <c r="J15" s="16">
        <f>ROUND(G15/70-1,2)</f>
        <v>2.96</v>
      </c>
    </row>
    <row r="16" spans="1:10" x14ac:dyDescent="0.25">
      <c r="A16" s="1" t="s">
        <v>16</v>
      </c>
      <c r="B16" s="1" t="s">
        <v>23</v>
      </c>
      <c r="C16" s="11"/>
      <c r="D16" s="11"/>
      <c r="E16" s="11">
        <v>90520</v>
      </c>
      <c r="F16" s="11"/>
      <c r="G16" s="11">
        <f t="shared" si="0"/>
        <v>90520</v>
      </c>
      <c r="H16" s="17">
        <f t="shared" si="1"/>
        <v>38.68</v>
      </c>
      <c r="I16" s="16">
        <f t="shared" si="2"/>
        <v>9.6000000000000002E-2</v>
      </c>
      <c r="J16" s="16">
        <f>ROUND(G16/49990-1,2)</f>
        <v>0.81</v>
      </c>
    </row>
    <row r="17" spans="1:10" x14ac:dyDescent="0.25">
      <c r="A17" s="1" t="s">
        <v>16</v>
      </c>
      <c r="B17" s="1" t="s">
        <v>24</v>
      </c>
      <c r="C17" s="11">
        <v>95310</v>
      </c>
      <c r="D17" s="11"/>
      <c r="E17" s="11">
        <v>18720</v>
      </c>
      <c r="F17" s="11"/>
      <c r="G17" s="11">
        <f t="shared" si="0"/>
        <v>114030</v>
      </c>
      <c r="H17" s="17">
        <f t="shared" si="1"/>
        <v>48.73</v>
      </c>
      <c r="I17" s="16">
        <f t="shared" si="2"/>
        <v>0.121</v>
      </c>
      <c r="J17" s="16">
        <f>ROUND(G17/111310-1,2)</f>
        <v>0.02</v>
      </c>
    </row>
    <row r="18" spans="1:10" x14ac:dyDescent="0.25">
      <c r="A18" s="1" t="s">
        <v>16</v>
      </c>
      <c r="B18" s="1" t="s">
        <v>25</v>
      </c>
      <c r="C18" s="11"/>
      <c r="D18" s="11"/>
      <c r="E18" s="11">
        <v>4020</v>
      </c>
      <c r="F18" s="11"/>
      <c r="G18" s="11">
        <f t="shared" si="0"/>
        <v>4020</v>
      </c>
      <c r="H18" s="17">
        <f t="shared" si="1"/>
        <v>1.72</v>
      </c>
      <c r="I18" s="16">
        <f t="shared" si="2"/>
        <v>4.0000000000000001E-3</v>
      </c>
      <c r="J18" s="16">
        <f>ROUND(G18/3820-1,2)</f>
        <v>0.05</v>
      </c>
    </row>
    <row r="19" spans="1:10" x14ac:dyDescent="0.25">
      <c r="A19" s="1" t="s">
        <v>16</v>
      </c>
      <c r="B19" s="1" t="s">
        <v>26</v>
      </c>
      <c r="C19" s="11">
        <v>111910</v>
      </c>
      <c r="D19" s="11"/>
      <c r="E19" s="11"/>
      <c r="F19" s="11"/>
      <c r="G19" s="11">
        <f t="shared" si="0"/>
        <v>111910</v>
      </c>
      <c r="H19" s="17">
        <f t="shared" si="1"/>
        <v>47.82</v>
      </c>
      <c r="I19" s="16">
        <f t="shared" si="2"/>
        <v>0.11899999999999999</v>
      </c>
      <c r="J19" s="16">
        <f>ROUND(G19/100610-1,2)</f>
        <v>0.11</v>
      </c>
    </row>
    <row r="20" spans="1:10" x14ac:dyDescent="0.25">
      <c r="A20" s="1" t="s">
        <v>16</v>
      </c>
      <c r="B20" s="1" t="s">
        <v>27</v>
      </c>
      <c r="C20" s="11"/>
      <c r="D20" s="11"/>
      <c r="E20" s="11">
        <v>1456</v>
      </c>
      <c r="F20" s="11"/>
      <c r="G20" s="11">
        <f t="shared" si="0"/>
        <v>1456</v>
      </c>
      <c r="H20" s="17">
        <f t="shared" si="1"/>
        <v>0.62</v>
      </c>
      <c r="I20" s="16">
        <f t="shared" si="2"/>
        <v>2E-3</v>
      </c>
      <c r="J20" s="16">
        <f>ROUND(G20/1509-1,2)</f>
        <v>-0.04</v>
      </c>
    </row>
    <row r="21" spans="1:10" x14ac:dyDescent="0.25">
      <c r="A21" s="1" t="s">
        <v>16</v>
      </c>
      <c r="B21" s="1" t="s">
        <v>28</v>
      </c>
      <c r="C21" s="11"/>
      <c r="D21" s="11"/>
      <c r="E21" s="11">
        <v>387</v>
      </c>
      <c r="F21" s="11"/>
      <c r="G21" s="11">
        <f t="shared" si="0"/>
        <v>387</v>
      </c>
      <c r="H21" s="17">
        <f t="shared" si="1"/>
        <v>0.17</v>
      </c>
      <c r="I21" s="16">
        <f t="shared" si="2"/>
        <v>0</v>
      </c>
      <c r="J21" s="16">
        <f>ROUND(G21/865-1,2)</f>
        <v>-0.55000000000000004</v>
      </c>
    </row>
    <row r="22" spans="1:10" x14ac:dyDescent="0.25">
      <c r="A22" s="1" t="s">
        <v>16</v>
      </c>
      <c r="B22" s="1" t="s">
        <v>29</v>
      </c>
      <c r="C22" s="11"/>
      <c r="D22" s="11"/>
      <c r="E22" s="11">
        <v>80</v>
      </c>
      <c r="F22" s="11"/>
      <c r="G22" s="11">
        <f t="shared" si="0"/>
        <v>80</v>
      </c>
      <c r="H22" s="17">
        <f t="shared" si="1"/>
        <v>0.03</v>
      </c>
      <c r="I22" s="16">
        <f t="shared" si="2"/>
        <v>0</v>
      </c>
      <c r="J22" s="16">
        <f>ROUND(G22/90-1,2)</f>
        <v>-0.11</v>
      </c>
    </row>
    <row r="23" spans="1:10" x14ac:dyDescent="0.25">
      <c r="A23" s="1" t="s">
        <v>16</v>
      </c>
      <c r="B23" s="1" t="s">
        <v>30</v>
      </c>
      <c r="C23" s="11"/>
      <c r="D23" s="11"/>
      <c r="E23" s="11">
        <v>2590</v>
      </c>
      <c r="F23" s="11"/>
      <c r="G23" s="11">
        <f t="shared" si="0"/>
        <v>2590</v>
      </c>
      <c r="H23" s="17">
        <f t="shared" si="1"/>
        <v>1.1100000000000001</v>
      </c>
      <c r="I23" s="16">
        <f t="shared" si="2"/>
        <v>3.0000000000000001E-3</v>
      </c>
      <c r="J23" s="16">
        <f>ROUND(G23/3740-1,2)</f>
        <v>-0.31</v>
      </c>
    </row>
    <row r="24" spans="1:10" x14ac:dyDescent="0.25">
      <c r="A24" s="1" t="s">
        <v>16</v>
      </c>
      <c r="B24" s="1" t="s">
        <v>31</v>
      </c>
      <c r="C24" s="11"/>
      <c r="D24" s="11"/>
      <c r="E24" s="11">
        <v>670</v>
      </c>
      <c r="F24" s="11"/>
      <c r="G24" s="11">
        <f t="shared" si="0"/>
        <v>670</v>
      </c>
      <c r="H24" s="17">
        <f t="shared" si="1"/>
        <v>0.28999999999999998</v>
      </c>
      <c r="I24" s="16">
        <f t="shared" si="2"/>
        <v>1E-3</v>
      </c>
      <c r="J24" s="16">
        <f>ROUND(G24/950-1,2)</f>
        <v>-0.28999999999999998</v>
      </c>
    </row>
    <row r="25" spans="1:10" x14ac:dyDescent="0.25">
      <c r="A25" s="1" t="s">
        <v>16</v>
      </c>
      <c r="B25" s="1" t="s">
        <v>32</v>
      </c>
      <c r="C25" s="11"/>
      <c r="D25" s="11"/>
      <c r="E25" s="11">
        <v>510</v>
      </c>
      <c r="F25" s="11"/>
      <c r="G25" s="11">
        <f t="shared" si="0"/>
        <v>510</v>
      </c>
      <c r="H25" s="17">
        <f t="shared" si="1"/>
        <v>0.22</v>
      </c>
      <c r="I25" s="16">
        <f t="shared" si="2"/>
        <v>1E-3</v>
      </c>
      <c r="J25" s="16">
        <f>ROUND(G25/460-1,2)</f>
        <v>0.11</v>
      </c>
    </row>
    <row r="26" spans="1:10" x14ac:dyDescent="0.25">
      <c r="A26" s="1" t="s">
        <v>16</v>
      </c>
      <c r="B26" s="1" t="s">
        <v>33</v>
      </c>
      <c r="C26" s="11"/>
      <c r="D26" s="11"/>
      <c r="E26" s="11">
        <v>2062</v>
      </c>
      <c r="F26" s="11"/>
      <c r="G26" s="11">
        <f t="shared" si="0"/>
        <v>2062</v>
      </c>
      <c r="H26" s="17">
        <f t="shared" si="1"/>
        <v>0.88</v>
      </c>
      <c r="I26" s="16">
        <f t="shared" si="2"/>
        <v>2E-3</v>
      </c>
      <c r="J26" s="16">
        <f>ROUND(G26/985-1,2)</f>
        <v>1.0900000000000001</v>
      </c>
    </row>
    <row r="27" spans="1:10" x14ac:dyDescent="0.25">
      <c r="A27" s="1" t="s">
        <v>16</v>
      </c>
      <c r="B27" s="1" t="s">
        <v>34</v>
      </c>
      <c r="C27" s="11"/>
      <c r="D27" s="11">
        <v>84</v>
      </c>
      <c r="E27" s="11">
        <v>61</v>
      </c>
      <c r="F27" s="11"/>
      <c r="G27" s="11">
        <f t="shared" si="0"/>
        <v>145</v>
      </c>
      <c r="H27" s="17">
        <f t="shared" si="1"/>
        <v>0.06</v>
      </c>
      <c r="I27" s="16">
        <f t="shared" si="2"/>
        <v>0</v>
      </c>
      <c r="J27" s="16">
        <f>ROUND(G27/75-1,2)</f>
        <v>0.93</v>
      </c>
    </row>
    <row r="28" spans="1:10" x14ac:dyDescent="0.25">
      <c r="A28" s="1" t="s">
        <v>16</v>
      </c>
      <c r="B28" s="1" t="s">
        <v>35</v>
      </c>
      <c r="C28" s="11"/>
      <c r="D28" s="11"/>
      <c r="E28" s="11">
        <v>2080</v>
      </c>
      <c r="F28" s="11"/>
      <c r="G28" s="11">
        <f t="shared" si="0"/>
        <v>2080</v>
      </c>
      <c r="H28" s="17">
        <f t="shared" si="1"/>
        <v>0.89</v>
      </c>
      <c r="I28" s="16">
        <f t="shared" si="2"/>
        <v>2E-3</v>
      </c>
      <c r="J28" s="16"/>
    </row>
    <row r="29" spans="1:10" x14ac:dyDescent="0.25">
      <c r="A29" s="1" t="s">
        <v>16</v>
      </c>
      <c r="B29" s="1" t="s">
        <v>37</v>
      </c>
      <c r="C29" s="11"/>
      <c r="D29" s="11"/>
      <c r="E29" s="11">
        <v>1330</v>
      </c>
      <c r="F29" s="11"/>
      <c r="G29" s="11">
        <f t="shared" si="0"/>
        <v>1330</v>
      </c>
      <c r="H29" s="17">
        <f t="shared" si="1"/>
        <v>0.56999999999999995</v>
      </c>
      <c r="I29" s="16">
        <f t="shared" si="2"/>
        <v>1E-3</v>
      </c>
      <c r="J29" s="16">
        <f>ROUND(G29/990-1,2)</f>
        <v>0.34</v>
      </c>
    </row>
    <row r="30" spans="1:10" x14ac:dyDescent="0.25">
      <c r="A30" s="1" t="s">
        <v>16</v>
      </c>
      <c r="B30" s="1" t="s">
        <v>39</v>
      </c>
      <c r="C30" s="11"/>
      <c r="D30" s="11"/>
      <c r="E30" s="11">
        <v>19250</v>
      </c>
      <c r="F30" s="11"/>
      <c r="G30" s="11">
        <f t="shared" si="0"/>
        <v>19250</v>
      </c>
      <c r="H30" s="17">
        <f t="shared" si="1"/>
        <v>8.23</v>
      </c>
      <c r="I30" s="16">
        <f t="shared" si="2"/>
        <v>0.02</v>
      </c>
      <c r="J30" s="16">
        <f>ROUND(G30/3780-1,2)</f>
        <v>4.09</v>
      </c>
    </row>
    <row r="31" spans="1:10" x14ac:dyDescent="0.25">
      <c r="A31" s="1" t="s">
        <v>16</v>
      </c>
      <c r="B31" s="1" t="s">
        <v>38</v>
      </c>
      <c r="C31" s="11"/>
      <c r="D31" s="11"/>
      <c r="E31" s="11">
        <v>3960</v>
      </c>
      <c r="F31" s="11"/>
      <c r="G31" s="11">
        <f t="shared" si="0"/>
        <v>3960</v>
      </c>
      <c r="H31" s="17">
        <f t="shared" si="1"/>
        <v>1.69</v>
      </c>
      <c r="I31" s="16">
        <f t="shared" si="2"/>
        <v>4.0000000000000001E-3</v>
      </c>
      <c r="J31" s="16">
        <f>ROUND(G31/10880-1,2)</f>
        <v>-0.64</v>
      </c>
    </row>
    <row r="32" spans="1:10" x14ac:dyDescent="0.25">
      <c r="A32" s="1" t="s">
        <v>16</v>
      </c>
      <c r="B32" s="1" t="s">
        <v>40</v>
      </c>
      <c r="C32" s="11"/>
      <c r="D32" s="11"/>
      <c r="E32" s="11">
        <v>57645</v>
      </c>
      <c r="F32" s="11"/>
      <c r="G32" s="11">
        <f t="shared" si="0"/>
        <v>57645</v>
      </c>
      <c r="H32" s="17">
        <f t="shared" si="1"/>
        <v>24.63</v>
      </c>
      <c r="I32" s="16">
        <f t="shared" si="2"/>
        <v>6.0999999999999999E-2</v>
      </c>
      <c r="J32" s="16">
        <f>ROUND(G32/50635-1,2)</f>
        <v>0.14000000000000001</v>
      </c>
    </row>
    <row r="33" spans="1:10" x14ac:dyDescent="0.25">
      <c r="A33" s="1" t="s">
        <v>16</v>
      </c>
      <c r="B33" s="1" t="s">
        <v>41</v>
      </c>
      <c r="C33" s="11"/>
      <c r="D33" s="11"/>
      <c r="E33" s="11">
        <v>7740</v>
      </c>
      <c r="F33" s="11"/>
      <c r="G33" s="11">
        <f t="shared" si="0"/>
        <v>7740</v>
      </c>
      <c r="H33" s="17">
        <f t="shared" si="1"/>
        <v>3.31</v>
      </c>
      <c r="I33" s="16">
        <f t="shared" si="2"/>
        <v>8.0000000000000002E-3</v>
      </c>
      <c r="J33" s="16">
        <f>ROUND(G33/6280-1,2)</f>
        <v>0.23</v>
      </c>
    </row>
    <row r="34" spans="1:10" x14ac:dyDescent="0.25">
      <c r="A34" s="1" t="s">
        <v>16</v>
      </c>
      <c r="B34" s="1" t="s">
        <v>42</v>
      </c>
      <c r="C34" s="11"/>
      <c r="D34" s="11"/>
      <c r="E34" s="11">
        <v>31600</v>
      </c>
      <c r="F34" s="11"/>
      <c r="G34" s="11">
        <f t="shared" si="0"/>
        <v>31600</v>
      </c>
      <c r="H34" s="17">
        <f t="shared" si="1"/>
        <v>13.5</v>
      </c>
      <c r="I34" s="16">
        <f t="shared" si="2"/>
        <v>3.4000000000000002E-2</v>
      </c>
      <c r="J34" s="16">
        <f>ROUND(G34/22770-1,2)</f>
        <v>0.39</v>
      </c>
    </row>
    <row r="35" spans="1:10" x14ac:dyDescent="0.25">
      <c r="A35" s="1" t="s">
        <v>16</v>
      </c>
      <c r="B35" s="1" t="s">
        <v>44</v>
      </c>
      <c r="C35" s="11"/>
      <c r="D35" s="11"/>
      <c r="E35" s="11">
        <v>3980</v>
      </c>
      <c r="F35" s="11"/>
      <c r="G35" s="11">
        <f t="shared" si="0"/>
        <v>3980</v>
      </c>
      <c r="H35" s="17">
        <f t="shared" si="1"/>
        <v>1.7</v>
      </c>
      <c r="I35" s="16">
        <f t="shared" si="2"/>
        <v>4.0000000000000001E-3</v>
      </c>
      <c r="J35" s="16">
        <f>ROUND(G35/17900-1,2)</f>
        <v>-0.78</v>
      </c>
    </row>
    <row r="36" spans="1:10" x14ac:dyDescent="0.25">
      <c r="A36" s="1" t="s">
        <v>16</v>
      </c>
      <c r="B36" s="1" t="s">
        <v>18</v>
      </c>
      <c r="C36" s="11"/>
      <c r="D36" s="11"/>
      <c r="E36" s="11"/>
      <c r="F36" s="11"/>
      <c r="G36" s="11">
        <f t="shared" si="0"/>
        <v>0</v>
      </c>
      <c r="H36" s="17">
        <f t="shared" si="1"/>
        <v>0</v>
      </c>
      <c r="I36" s="16">
        <f t="shared" si="2"/>
        <v>0</v>
      </c>
      <c r="J36" s="16"/>
    </row>
    <row r="37" spans="1:10" x14ac:dyDescent="0.25">
      <c r="A37" s="1" t="s">
        <v>16</v>
      </c>
      <c r="B37" s="1" t="s">
        <v>22</v>
      </c>
      <c r="C37" s="11"/>
      <c r="D37" s="11"/>
      <c r="E37" s="11"/>
      <c r="F37" s="11"/>
      <c r="G37" s="11">
        <f t="shared" si="0"/>
        <v>0</v>
      </c>
      <c r="H37" s="17">
        <f t="shared" si="1"/>
        <v>0</v>
      </c>
      <c r="I37" s="16">
        <f t="shared" si="2"/>
        <v>0</v>
      </c>
      <c r="J37" s="16"/>
    </row>
    <row r="38" spans="1:10" x14ac:dyDescent="0.25">
      <c r="A38" s="1" t="s">
        <v>16</v>
      </c>
      <c r="B38" s="1" t="s">
        <v>121</v>
      </c>
      <c r="C38" s="11"/>
      <c r="D38" s="11"/>
      <c r="E38" s="11"/>
      <c r="F38" s="11"/>
      <c r="G38" s="11">
        <f t="shared" si="0"/>
        <v>0</v>
      </c>
      <c r="H38" s="17">
        <f t="shared" si="1"/>
        <v>0</v>
      </c>
      <c r="I38" s="16">
        <f t="shared" si="2"/>
        <v>0</v>
      </c>
      <c r="J38" s="16"/>
    </row>
    <row r="39" spans="1:10" x14ac:dyDescent="0.25">
      <c r="A39" s="1" t="s">
        <v>16</v>
      </c>
      <c r="B39" s="1" t="s">
        <v>36</v>
      </c>
      <c r="C39" s="11"/>
      <c r="D39" s="11"/>
      <c r="E39" s="11"/>
      <c r="F39" s="11"/>
      <c r="G39" s="11">
        <f t="shared" si="0"/>
        <v>0</v>
      </c>
      <c r="H39" s="17">
        <f t="shared" si="1"/>
        <v>0</v>
      </c>
      <c r="I39" s="16">
        <f t="shared" si="2"/>
        <v>0</v>
      </c>
      <c r="J39" s="16">
        <f>ROUND(G39/318-1,2)</f>
        <v>-1</v>
      </c>
    </row>
    <row r="40" spans="1:10" x14ac:dyDescent="0.25">
      <c r="A40" s="1" t="s">
        <v>45</v>
      </c>
      <c r="B40" s="1" t="s">
        <v>46</v>
      </c>
      <c r="C40" s="11">
        <v>257650</v>
      </c>
      <c r="D40" s="11"/>
      <c r="E40" s="11"/>
      <c r="F40" s="11"/>
      <c r="G40" s="11">
        <f t="shared" si="0"/>
        <v>257650</v>
      </c>
      <c r="H40" s="17">
        <f t="shared" si="1"/>
        <v>110.11</v>
      </c>
      <c r="I40" s="16">
        <f t="shared" si="2"/>
        <v>0.27300000000000002</v>
      </c>
      <c r="J40" s="16">
        <f>ROUND(G40/264260-1,2)</f>
        <v>-0.03</v>
      </c>
    </row>
    <row r="41" spans="1:10" x14ac:dyDescent="0.25">
      <c r="A41" s="1" t="s">
        <v>45</v>
      </c>
      <c r="B41" s="1" t="s">
        <v>48</v>
      </c>
      <c r="C41" s="11"/>
      <c r="D41" s="11"/>
      <c r="E41" s="11"/>
      <c r="F41" s="11">
        <v>13780</v>
      </c>
      <c r="G41" s="11">
        <f t="shared" si="0"/>
        <v>13780</v>
      </c>
      <c r="H41" s="17">
        <f t="shared" si="1"/>
        <v>5.89</v>
      </c>
      <c r="I41" s="16">
        <f t="shared" si="2"/>
        <v>1.4999999999999999E-2</v>
      </c>
      <c r="J41" s="16">
        <f>ROUND(G41/34200-1,2)</f>
        <v>-0.6</v>
      </c>
    </row>
    <row r="42" spans="1:10" x14ac:dyDescent="0.25">
      <c r="A42" s="1" t="s">
        <v>45</v>
      </c>
      <c r="B42" s="1" t="s">
        <v>47</v>
      </c>
      <c r="C42" s="11"/>
      <c r="D42" s="11"/>
      <c r="E42" s="11">
        <v>40570</v>
      </c>
      <c r="F42" s="11"/>
      <c r="G42" s="11">
        <f t="shared" si="0"/>
        <v>40570</v>
      </c>
      <c r="H42" s="17">
        <f t="shared" si="1"/>
        <v>17.34</v>
      </c>
      <c r="I42" s="16">
        <f t="shared" si="2"/>
        <v>4.2999999999999997E-2</v>
      </c>
      <c r="J42" s="16">
        <f>ROUND(G42/30295-1,2)</f>
        <v>0.34</v>
      </c>
    </row>
    <row r="43" spans="1:10" x14ac:dyDescent="0.25">
      <c r="A43" s="26" t="s">
        <v>12</v>
      </c>
      <c r="B43" s="26"/>
      <c r="C43" s="12">
        <f t="shared" ref="C43:H43" si="3">SUM(C8:C42)</f>
        <v>633400</v>
      </c>
      <c r="D43" s="12">
        <f t="shared" si="3"/>
        <v>1744</v>
      </c>
      <c r="E43" s="12">
        <f t="shared" si="3"/>
        <v>292928</v>
      </c>
      <c r="F43" s="12">
        <f t="shared" si="3"/>
        <v>14019</v>
      </c>
      <c r="G43" s="12">
        <f t="shared" si="3"/>
        <v>942091</v>
      </c>
      <c r="H43" s="15">
        <f t="shared" si="3"/>
        <v>402.59999999999991</v>
      </c>
      <c r="I43" s="18"/>
      <c r="J43" s="18"/>
    </row>
    <row r="44" spans="1:10" x14ac:dyDescent="0.25">
      <c r="A44" s="26" t="s">
        <v>14</v>
      </c>
      <c r="B44" s="26"/>
      <c r="C44" s="13">
        <f>ROUND(C43/G43,2)</f>
        <v>0.67</v>
      </c>
      <c r="D44" s="13">
        <f>ROUND(D43/G43,2)</f>
        <v>0</v>
      </c>
      <c r="E44" s="13">
        <f>ROUND(E43/G43,2)</f>
        <v>0.31</v>
      </c>
      <c r="F44" s="13">
        <f>ROUND(F43/G43,2)</f>
        <v>0.01</v>
      </c>
      <c r="G44" s="14"/>
      <c r="H44" s="14"/>
      <c r="I44" s="18"/>
      <c r="J44" s="18"/>
    </row>
    <row r="45" spans="1:10" x14ac:dyDescent="0.25">
      <c r="A45" s="2" t="s">
        <v>53</v>
      </c>
      <c r="B45" s="2"/>
      <c r="C45" s="14"/>
      <c r="D45" s="14"/>
      <c r="E45" s="14"/>
      <c r="F45" s="14"/>
      <c r="G45" s="14"/>
      <c r="H45" s="14"/>
      <c r="I45" s="18"/>
      <c r="J45" s="18"/>
    </row>
    <row r="46" spans="1:10" x14ac:dyDescent="0.25">
      <c r="C46" s="9"/>
      <c r="D46" s="9"/>
      <c r="E46" s="9"/>
      <c r="F46" s="9"/>
      <c r="G46" s="9"/>
      <c r="H46" s="9"/>
      <c r="I46" s="10"/>
      <c r="J46" s="10"/>
    </row>
    <row r="47" spans="1:10" x14ac:dyDescent="0.25">
      <c r="C47" s="9"/>
      <c r="D47" s="9"/>
      <c r="E47" s="9"/>
      <c r="F47" s="9"/>
      <c r="G47" s="9"/>
      <c r="H47" s="9"/>
      <c r="I47" s="10"/>
      <c r="J47" s="10"/>
    </row>
    <row r="48" spans="1:10" x14ac:dyDescent="0.25">
      <c r="C48" s="9"/>
      <c r="D48" s="9"/>
      <c r="E48" s="9"/>
      <c r="F48" s="9"/>
      <c r="G48" s="9"/>
      <c r="H48" s="9"/>
      <c r="I48" s="10"/>
      <c r="J48" s="10"/>
    </row>
    <row r="49" spans="1:10" x14ac:dyDescent="0.25">
      <c r="A49" s="26" t="s">
        <v>54</v>
      </c>
      <c r="B49" s="26"/>
      <c r="C49" s="12" t="s">
        <v>8</v>
      </c>
      <c r="D49" s="12" t="s">
        <v>9</v>
      </c>
      <c r="E49" s="12" t="s">
        <v>10</v>
      </c>
      <c r="F49" s="12" t="s">
        <v>11</v>
      </c>
      <c r="G49" s="12" t="s">
        <v>12</v>
      </c>
      <c r="H49" s="15" t="s">
        <v>13</v>
      </c>
      <c r="I49" s="18"/>
      <c r="J49" s="18"/>
    </row>
    <row r="50" spans="1:10" x14ac:dyDescent="0.25">
      <c r="A50" s="21" t="s">
        <v>55</v>
      </c>
      <c r="B50" s="21"/>
      <c r="C50" s="11">
        <v>375750</v>
      </c>
      <c r="D50" s="11">
        <v>1744</v>
      </c>
      <c r="E50" s="11">
        <v>252358</v>
      </c>
      <c r="F50" s="11">
        <v>0</v>
      </c>
      <c r="G50" s="11">
        <f>SUM(C50:F50)</f>
        <v>629852</v>
      </c>
      <c r="H50" s="17">
        <f>ROUND(G50/2340,2)</f>
        <v>269.17</v>
      </c>
      <c r="I50" s="10"/>
      <c r="J50" s="10"/>
    </row>
    <row r="51" spans="1:10" x14ac:dyDescent="0.25">
      <c r="A51" s="21" t="s">
        <v>56</v>
      </c>
      <c r="B51" s="21"/>
      <c r="C51" s="11">
        <v>257650</v>
      </c>
      <c r="D51" s="11">
        <v>0</v>
      </c>
      <c r="E51" s="11">
        <v>40570</v>
      </c>
      <c r="F51" s="11">
        <v>13780</v>
      </c>
      <c r="G51" s="11">
        <f>SUM(C51:F51)</f>
        <v>312000</v>
      </c>
      <c r="H51" s="17">
        <f>ROUND(G51/2340,2)</f>
        <v>133.33000000000001</v>
      </c>
      <c r="I51" s="10"/>
      <c r="J51" s="10"/>
    </row>
    <row r="52" spans="1:10" x14ac:dyDescent="0.25">
      <c r="A52" s="21" t="s">
        <v>57</v>
      </c>
      <c r="B52" s="21"/>
      <c r="C52" s="11">
        <v>0</v>
      </c>
      <c r="D52" s="11">
        <v>0</v>
      </c>
      <c r="E52" s="11">
        <v>0</v>
      </c>
      <c r="F52" s="11">
        <v>239</v>
      </c>
      <c r="G52" s="11">
        <f>SUM(C52:F52)</f>
        <v>239</v>
      </c>
      <c r="H52" s="17">
        <f>ROUND(G52/2340,2)</f>
        <v>0.1</v>
      </c>
      <c r="I52" s="10"/>
      <c r="J52" s="10"/>
    </row>
    <row r="53" spans="1:10" x14ac:dyDescent="0.25">
      <c r="C53" s="9"/>
      <c r="D53" s="9"/>
      <c r="E53" s="9"/>
      <c r="F53" s="9"/>
      <c r="G53" s="9"/>
      <c r="H53" s="9"/>
      <c r="I53" s="10"/>
      <c r="J53" s="10"/>
    </row>
    <row r="54" spans="1:10" x14ac:dyDescent="0.25">
      <c r="C54" s="9"/>
      <c r="D54" s="9"/>
      <c r="E54" s="9"/>
      <c r="F54" s="9"/>
      <c r="G54" s="9"/>
      <c r="H54" s="9"/>
      <c r="I54" s="10"/>
      <c r="J54" s="10"/>
    </row>
    <row r="55" spans="1:10" x14ac:dyDescent="0.25">
      <c r="C55" s="9"/>
      <c r="D55" s="9"/>
      <c r="E55" s="9"/>
      <c r="F55" s="9"/>
      <c r="G55" s="9"/>
      <c r="H55" s="9"/>
      <c r="I55" s="10"/>
      <c r="J55" s="10"/>
    </row>
    <row r="56" spans="1:10" x14ac:dyDescent="0.25">
      <c r="C56" s="9"/>
      <c r="D56" s="9"/>
      <c r="E56" s="9"/>
      <c r="F56" s="9"/>
      <c r="G56" s="9"/>
      <c r="H56" s="9"/>
      <c r="I56" s="10"/>
      <c r="J56" s="10"/>
    </row>
    <row r="57" spans="1:10" x14ac:dyDescent="0.25">
      <c r="A57" s="26" t="s">
        <v>58</v>
      </c>
      <c r="B57" s="26"/>
      <c r="C57" s="15" t="s">
        <v>2</v>
      </c>
      <c r="D57" s="15">
        <v>2024</v>
      </c>
      <c r="E57" s="15" t="s">
        <v>60</v>
      </c>
      <c r="F57" s="14"/>
      <c r="G57" s="15" t="s">
        <v>61</v>
      </c>
      <c r="H57" s="15" t="s">
        <v>2</v>
      </c>
      <c r="I57" s="13" t="s">
        <v>62</v>
      </c>
      <c r="J57" s="13" t="s">
        <v>60</v>
      </c>
    </row>
    <row r="58" spans="1:10" x14ac:dyDescent="0.25">
      <c r="A58" s="21" t="s">
        <v>59</v>
      </c>
      <c r="B58" s="21"/>
      <c r="C58" s="16">
        <f>ROUND(0.6974, 4)</f>
        <v>0.69740000000000002</v>
      </c>
      <c r="D58" s="16">
        <f>ROUND(0.677, 4)</f>
        <v>0.67700000000000005</v>
      </c>
      <c r="E58" s="16">
        <f>ROUND(0.7856, 4)</f>
        <v>0.78559999999999997</v>
      </c>
      <c r="F58" s="9"/>
      <c r="G58" s="15" t="s">
        <v>63</v>
      </c>
      <c r="H58" s="27" t="s">
        <v>64</v>
      </c>
      <c r="I58" s="24" t="s">
        <v>65</v>
      </c>
      <c r="J58" s="24" t="s">
        <v>66</v>
      </c>
    </row>
    <row r="59" spans="1:10" x14ac:dyDescent="0.25">
      <c r="A59" s="21" t="s">
        <v>67</v>
      </c>
      <c r="B59" s="21"/>
      <c r="C59" s="16">
        <f>ROUND(0.6974, 4)</f>
        <v>0.69740000000000002</v>
      </c>
      <c r="D59" s="16">
        <f>ROUND(0.6366, 4)</f>
        <v>0.63660000000000005</v>
      </c>
      <c r="E59" s="16">
        <f>ROUND(0.7702, 4)</f>
        <v>0.7702</v>
      </c>
      <c r="F59" s="9"/>
      <c r="G59" s="15" t="s">
        <v>68</v>
      </c>
      <c r="H59" s="28"/>
      <c r="I59" s="25"/>
      <c r="J59" s="25"/>
    </row>
    <row r="60" spans="1:10" x14ac:dyDescent="0.25">
      <c r="C60" s="9"/>
      <c r="D60" s="9"/>
      <c r="E60" s="9"/>
      <c r="F60" s="9"/>
      <c r="G60" s="9"/>
      <c r="H60" s="9"/>
      <c r="I60" s="10"/>
      <c r="J60" s="10"/>
    </row>
    <row r="61" spans="1:10" x14ac:dyDescent="0.25">
      <c r="C61" s="9"/>
      <c r="D61" s="9"/>
      <c r="E61" s="9"/>
      <c r="F61" s="9"/>
      <c r="G61" s="9"/>
      <c r="H61" s="9"/>
      <c r="I61" s="10"/>
      <c r="J61" s="10"/>
    </row>
    <row r="62" spans="1:10" x14ac:dyDescent="0.25">
      <c r="C62" s="9"/>
      <c r="D62" s="9"/>
      <c r="E62" s="9"/>
      <c r="F62" s="9"/>
      <c r="G62" s="9"/>
      <c r="H62" s="9"/>
      <c r="I62" s="10"/>
      <c r="J62" s="10"/>
    </row>
    <row r="63" spans="1:10" x14ac:dyDescent="0.25">
      <c r="A63" s="26" t="s">
        <v>69</v>
      </c>
      <c r="B63" s="26"/>
      <c r="C63" s="15" t="s">
        <v>2</v>
      </c>
      <c r="D63" s="15" t="s">
        <v>248</v>
      </c>
      <c r="E63" s="15" t="s">
        <v>71</v>
      </c>
      <c r="F63" s="15" t="s">
        <v>72</v>
      </c>
      <c r="G63" s="15" t="s">
        <v>73</v>
      </c>
      <c r="H63" s="14"/>
      <c r="I63" s="18"/>
      <c r="J63" s="18"/>
    </row>
    <row r="64" spans="1:10" x14ac:dyDescent="0.25">
      <c r="A64" s="21" t="s">
        <v>74</v>
      </c>
      <c r="B64" s="21"/>
      <c r="C64" s="17">
        <v>110.11</v>
      </c>
      <c r="D64" s="17">
        <v>109.97</v>
      </c>
      <c r="E64" s="17">
        <v>96.15</v>
      </c>
      <c r="F64" s="17">
        <v>57.94</v>
      </c>
      <c r="G64" s="17">
        <f>12/12*C64</f>
        <v>110.11</v>
      </c>
      <c r="H64" s="9"/>
      <c r="I64" s="10"/>
      <c r="J64" s="10"/>
    </row>
    <row r="65" spans="1:10" x14ac:dyDescent="0.25">
      <c r="A65" s="21" t="s">
        <v>75</v>
      </c>
      <c r="B65" s="21"/>
      <c r="C65" s="17">
        <v>47.82</v>
      </c>
      <c r="D65" s="17">
        <v>58.09</v>
      </c>
      <c r="E65" s="17">
        <v>62.28</v>
      </c>
      <c r="F65" s="17">
        <v>66.599999999999994</v>
      </c>
      <c r="G65" s="17">
        <f>12/12*C65</f>
        <v>47.82</v>
      </c>
      <c r="H65" s="9"/>
      <c r="I65" s="10"/>
      <c r="J65" s="10"/>
    </row>
    <row r="66" spans="1:10" x14ac:dyDescent="0.25">
      <c r="A66" s="21" t="s">
        <v>76</v>
      </c>
      <c r="B66" s="21"/>
      <c r="C66" s="17">
        <v>269.17</v>
      </c>
      <c r="D66" s="17">
        <v>258.49</v>
      </c>
      <c r="E66" s="17">
        <v>300.02</v>
      </c>
      <c r="F66" s="17">
        <v>295.08</v>
      </c>
      <c r="G66" s="17">
        <f>12/12*C66</f>
        <v>269.17</v>
      </c>
      <c r="H66" s="9"/>
      <c r="I66" s="10"/>
      <c r="J66" s="10"/>
    </row>
    <row r="67" spans="1:10" x14ac:dyDescent="0.25">
      <c r="A67" s="21" t="s">
        <v>77</v>
      </c>
      <c r="B67" s="21"/>
      <c r="C67" s="17">
        <v>133.33000000000001</v>
      </c>
      <c r="D67" s="17">
        <v>132.58000000000001</v>
      </c>
      <c r="E67" s="17">
        <v>120.96</v>
      </c>
      <c r="F67" s="17">
        <v>83.12</v>
      </c>
      <c r="G67" s="17">
        <f>12/12*C67</f>
        <v>133.33000000000001</v>
      </c>
      <c r="H67" s="9"/>
      <c r="I67" s="10"/>
      <c r="J67" s="10"/>
    </row>
    <row r="68" spans="1:10" x14ac:dyDescent="0.25">
      <c r="C68" s="9"/>
      <c r="D68" s="9"/>
      <c r="E68" s="9"/>
      <c r="F68" s="9"/>
      <c r="G68" s="9"/>
      <c r="H68" s="9"/>
      <c r="I68" s="10"/>
      <c r="J68" s="10"/>
    </row>
    <row r="69" spans="1:10" x14ac:dyDescent="0.25">
      <c r="C69" s="9"/>
      <c r="D69" s="9"/>
      <c r="E69" s="9"/>
      <c r="F69" s="9"/>
      <c r="G69" s="9"/>
      <c r="H69" s="9"/>
      <c r="I69" s="10"/>
      <c r="J69" s="10"/>
    </row>
    <row r="70" spans="1:10" x14ac:dyDescent="0.25">
      <c r="A70" s="22" t="s">
        <v>61</v>
      </c>
      <c r="B70" s="23"/>
      <c r="C70" s="9"/>
      <c r="D70" s="9"/>
      <c r="E70" s="9"/>
      <c r="F70" s="9"/>
      <c r="G70" s="9"/>
      <c r="H70" s="9"/>
      <c r="I70" s="10"/>
      <c r="J70" s="10"/>
    </row>
    <row r="71" spans="1:10" x14ac:dyDescent="0.25">
      <c r="A71" s="3" t="s">
        <v>78</v>
      </c>
      <c r="B71" s="1" t="s">
        <v>249</v>
      </c>
      <c r="C71" s="9"/>
      <c r="D71" s="9"/>
      <c r="E71" s="9"/>
      <c r="F71" s="9"/>
      <c r="G71" s="9"/>
      <c r="H71" s="9"/>
      <c r="I71" s="10"/>
      <c r="J71" s="10"/>
    </row>
    <row r="72" spans="1:10" x14ac:dyDescent="0.25">
      <c r="A72" s="3" t="s">
        <v>71</v>
      </c>
      <c r="B72" s="1" t="s">
        <v>80</v>
      </c>
      <c r="C72" s="9"/>
      <c r="D72" s="9"/>
      <c r="E72" s="9"/>
      <c r="F72" s="9"/>
      <c r="G72" s="9"/>
      <c r="H72" s="9"/>
      <c r="I72" s="10"/>
      <c r="J72" s="10"/>
    </row>
    <row r="73" spans="1:10" x14ac:dyDescent="0.25">
      <c r="A73" s="3" t="s">
        <v>72</v>
      </c>
      <c r="B73" s="1" t="s">
        <v>81</v>
      </c>
      <c r="C73" s="9"/>
      <c r="D73" s="9"/>
      <c r="E73" s="9"/>
      <c r="F73" s="9"/>
      <c r="G73" s="9"/>
      <c r="H73" s="9"/>
      <c r="I73" s="10"/>
      <c r="J73" s="10"/>
    </row>
    <row r="74" spans="1:10" x14ac:dyDescent="0.25">
      <c r="A74" s="3" t="s">
        <v>73</v>
      </c>
      <c r="B74" s="1" t="s">
        <v>82</v>
      </c>
      <c r="C74" s="9"/>
      <c r="D74" s="9"/>
      <c r="E74" s="9"/>
      <c r="F74" s="9"/>
      <c r="G74" s="9"/>
      <c r="H74" s="9"/>
      <c r="I74" s="10"/>
      <c r="J74" s="10"/>
    </row>
  </sheetData>
  <mergeCells count="19">
    <mergeCell ref="C7:G7"/>
    <mergeCell ref="A43:B43"/>
    <mergeCell ref="A44:B44"/>
    <mergeCell ref="A49:B49"/>
    <mergeCell ref="A50:B50"/>
    <mergeCell ref="J58:J59"/>
    <mergeCell ref="A59:B59"/>
    <mergeCell ref="A63:B63"/>
    <mergeCell ref="A64:B64"/>
    <mergeCell ref="A51:B51"/>
    <mergeCell ref="A52:B52"/>
    <mergeCell ref="A57:B57"/>
    <mergeCell ref="A58:B58"/>
    <mergeCell ref="H58:H59"/>
    <mergeCell ref="A65:B65"/>
    <mergeCell ref="A66:B66"/>
    <mergeCell ref="A67:B67"/>
    <mergeCell ref="A70:B70"/>
    <mergeCell ref="I58:I59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J79"/>
  <sheetViews>
    <sheetView workbookViewId="0">
      <selection activeCell="H5" sqref="H5"/>
    </sheetView>
  </sheetViews>
  <sheetFormatPr defaultRowHeight="15" x14ac:dyDescent="0.25"/>
  <cols>
    <col min="1" max="1" width="28.42578125" bestFit="1" customWidth="1"/>
    <col min="2" max="2" width="59.5703125" bestFit="1" customWidth="1"/>
    <col min="3" max="3" width="12.7109375" bestFit="1" customWidth="1"/>
    <col min="4" max="4" width="28.5703125" bestFit="1" customWidth="1"/>
    <col min="5" max="5" width="13.85546875" bestFit="1" customWidth="1"/>
    <col min="6" max="6" width="8.5703125" bestFit="1" customWidth="1"/>
    <col min="7" max="7" width="47.7109375" bestFit="1" customWidth="1"/>
    <col min="8" max="9" width="16.7109375" bestFit="1" customWidth="1"/>
    <col min="10" max="10" width="24.42578125" bestFit="1" customWidth="1"/>
  </cols>
  <sheetData>
    <row r="2" spans="1:10" ht="18.75" x14ac:dyDescent="0.3">
      <c r="A2" s="3" t="s">
        <v>0</v>
      </c>
      <c r="B2" s="4" t="s">
        <v>250</v>
      </c>
    </row>
    <row r="3" spans="1:10" x14ac:dyDescent="0.25">
      <c r="A3" s="3" t="s">
        <v>2</v>
      </c>
      <c r="B3" s="1" t="s">
        <v>3</v>
      </c>
    </row>
    <row r="4" spans="1:10" x14ac:dyDescent="0.25">
      <c r="A4" s="3" t="s">
        <v>4</v>
      </c>
      <c r="B4" s="20">
        <v>5480</v>
      </c>
    </row>
    <row r="7" spans="1:10" x14ac:dyDescent="0.25">
      <c r="C7" s="22" t="s">
        <v>5</v>
      </c>
      <c r="D7" s="21"/>
      <c r="E7" s="21"/>
      <c r="F7" s="21"/>
      <c r="G7" s="21"/>
    </row>
    <row r="8" spans="1:10" x14ac:dyDescent="0.25">
      <c r="A8" s="3" t="s">
        <v>6</v>
      </c>
      <c r="B8" s="3" t="s">
        <v>7</v>
      </c>
      <c r="C8" s="15" t="s">
        <v>8</v>
      </c>
      <c r="D8" s="15" t="s">
        <v>9</v>
      </c>
      <c r="E8" s="15" t="s">
        <v>10</v>
      </c>
      <c r="F8" s="15" t="s">
        <v>11</v>
      </c>
      <c r="G8" s="15" t="s">
        <v>12</v>
      </c>
      <c r="H8" s="15" t="s">
        <v>13</v>
      </c>
      <c r="I8" s="15" t="s">
        <v>14</v>
      </c>
      <c r="J8" s="15" t="s">
        <v>15</v>
      </c>
    </row>
    <row r="9" spans="1:10" x14ac:dyDescent="0.25">
      <c r="A9" s="1" t="s">
        <v>49</v>
      </c>
      <c r="B9" s="1" t="s">
        <v>51</v>
      </c>
      <c r="C9" s="11"/>
      <c r="D9" s="11"/>
      <c r="E9" s="11"/>
      <c r="F9" s="11">
        <v>550</v>
      </c>
      <c r="G9" s="11">
        <f t="shared" ref="G9:G42" si="0">SUM(C9:F9)</f>
        <v>550</v>
      </c>
      <c r="H9" s="17">
        <f t="shared" ref="H9:H42" si="1">ROUND(G9/5480,2)</f>
        <v>0.1</v>
      </c>
      <c r="I9" s="16">
        <f t="shared" ref="I9:I42" si="2">ROUND(G9/$G$43,3)</f>
        <v>0</v>
      </c>
      <c r="J9" s="16"/>
    </row>
    <row r="10" spans="1:10" x14ac:dyDescent="0.25">
      <c r="A10" s="1" t="s">
        <v>49</v>
      </c>
      <c r="B10" s="1" t="s">
        <v>52</v>
      </c>
      <c r="C10" s="11"/>
      <c r="D10" s="11"/>
      <c r="E10" s="11"/>
      <c r="F10" s="11"/>
      <c r="G10" s="11">
        <f t="shared" si="0"/>
        <v>0</v>
      </c>
      <c r="H10" s="17">
        <f t="shared" si="1"/>
        <v>0</v>
      </c>
      <c r="I10" s="16">
        <f t="shared" si="2"/>
        <v>0</v>
      </c>
      <c r="J10" s="16"/>
    </row>
    <row r="11" spans="1:10" x14ac:dyDescent="0.25">
      <c r="A11" s="1" t="s">
        <v>49</v>
      </c>
      <c r="B11" s="1" t="s">
        <v>50</v>
      </c>
      <c r="C11" s="11"/>
      <c r="D11" s="11"/>
      <c r="E11" s="11"/>
      <c r="F11" s="11"/>
      <c r="G11" s="11">
        <f t="shared" si="0"/>
        <v>0</v>
      </c>
      <c r="H11" s="17">
        <f t="shared" si="1"/>
        <v>0</v>
      </c>
      <c r="I11" s="16">
        <f t="shared" si="2"/>
        <v>0</v>
      </c>
      <c r="J11" s="16"/>
    </row>
    <row r="12" spans="1:10" x14ac:dyDescent="0.25">
      <c r="A12" s="1" t="s">
        <v>49</v>
      </c>
      <c r="B12" s="1" t="s">
        <v>88</v>
      </c>
      <c r="C12" s="11"/>
      <c r="D12" s="11"/>
      <c r="E12" s="11"/>
      <c r="F12" s="11"/>
      <c r="G12" s="11">
        <f t="shared" si="0"/>
        <v>0</v>
      </c>
      <c r="H12" s="17">
        <f t="shared" si="1"/>
        <v>0</v>
      </c>
      <c r="I12" s="16">
        <f t="shared" si="2"/>
        <v>0</v>
      </c>
      <c r="J12" s="16"/>
    </row>
    <row r="13" spans="1:10" x14ac:dyDescent="0.25">
      <c r="A13" s="1" t="s">
        <v>16</v>
      </c>
      <c r="B13" s="1" t="s">
        <v>17</v>
      </c>
      <c r="C13" s="11"/>
      <c r="D13" s="11"/>
      <c r="E13" s="11">
        <v>140</v>
      </c>
      <c r="F13" s="11"/>
      <c r="G13" s="11">
        <f t="shared" si="0"/>
        <v>140</v>
      </c>
      <c r="H13" s="17">
        <f t="shared" si="1"/>
        <v>0.03</v>
      </c>
      <c r="I13" s="16">
        <f t="shared" si="2"/>
        <v>0</v>
      </c>
      <c r="J13" s="16">
        <f>ROUND(G13/209-1,2)</f>
        <v>-0.33</v>
      </c>
    </row>
    <row r="14" spans="1:10" x14ac:dyDescent="0.25">
      <c r="A14" s="1" t="s">
        <v>16</v>
      </c>
      <c r="B14" s="1" t="s">
        <v>19</v>
      </c>
      <c r="C14" s="11">
        <v>235490</v>
      </c>
      <c r="D14" s="11"/>
      <c r="E14" s="11">
        <v>1810</v>
      </c>
      <c r="F14" s="11">
        <v>630</v>
      </c>
      <c r="G14" s="11">
        <f t="shared" si="0"/>
        <v>237930</v>
      </c>
      <c r="H14" s="17">
        <f t="shared" si="1"/>
        <v>43.42</v>
      </c>
      <c r="I14" s="16">
        <f t="shared" si="2"/>
        <v>0.108</v>
      </c>
      <c r="J14" s="16">
        <f>ROUND(G14/249910-1,2)</f>
        <v>-0.05</v>
      </c>
    </row>
    <row r="15" spans="1:10" x14ac:dyDescent="0.25">
      <c r="A15" s="1" t="s">
        <v>16</v>
      </c>
      <c r="B15" s="1" t="s">
        <v>20</v>
      </c>
      <c r="C15" s="11">
        <v>217760</v>
      </c>
      <c r="D15" s="11">
        <v>1180</v>
      </c>
      <c r="E15" s="11"/>
      <c r="F15" s="11"/>
      <c r="G15" s="11">
        <f t="shared" si="0"/>
        <v>218940</v>
      </c>
      <c r="H15" s="17">
        <f t="shared" si="1"/>
        <v>39.950000000000003</v>
      </c>
      <c r="I15" s="16">
        <f t="shared" si="2"/>
        <v>0.1</v>
      </c>
      <c r="J15" s="16">
        <f>ROUND(G15/215720-1,2)</f>
        <v>0.01</v>
      </c>
    </row>
    <row r="16" spans="1:10" x14ac:dyDescent="0.25">
      <c r="A16" s="1" t="s">
        <v>16</v>
      </c>
      <c r="B16" s="1" t="s">
        <v>87</v>
      </c>
      <c r="C16" s="11"/>
      <c r="D16" s="11"/>
      <c r="E16" s="11">
        <v>203</v>
      </c>
      <c r="F16" s="11"/>
      <c r="G16" s="11">
        <f t="shared" si="0"/>
        <v>203</v>
      </c>
      <c r="H16" s="17">
        <f t="shared" si="1"/>
        <v>0.04</v>
      </c>
      <c r="I16" s="16">
        <f t="shared" si="2"/>
        <v>0</v>
      </c>
      <c r="J16" s="16">
        <f>ROUND(G16/190-1,2)</f>
        <v>7.0000000000000007E-2</v>
      </c>
    </row>
    <row r="17" spans="1:10" x14ac:dyDescent="0.25">
      <c r="A17" s="1" t="s">
        <v>16</v>
      </c>
      <c r="B17" s="1" t="s">
        <v>21</v>
      </c>
      <c r="C17" s="11"/>
      <c r="D17" s="11"/>
      <c r="E17" s="11">
        <v>249</v>
      </c>
      <c r="F17" s="11"/>
      <c r="G17" s="11">
        <f t="shared" si="0"/>
        <v>249</v>
      </c>
      <c r="H17" s="17">
        <f t="shared" si="1"/>
        <v>0.05</v>
      </c>
      <c r="I17" s="16">
        <f t="shared" si="2"/>
        <v>0</v>
      </c>
      <c r="J17" s="16">
        <f>ROUND(G17/166-1,2)</f>
        <v>0.5</v>
      </c>
    </row>
    <row r="18" spans="1:10" x14ac:dyDescent="0.25">
      <c r="A18" s="1" t="s">
        <v>16</v>
      </c>
      <c r="B18" s="1" t="s">
        <v>22</v>
      </c>
      <c r="C18" s="11"/>
      <c r="D18" s="11"/>
      <c r="E18" s="11">
        <v>1700</v>
      </c>
      <c r="F18" s="11"/>
      <c r="G18" s="11">
        <f t="shared" si="0"/>
        <v>1700</v>
      </c>
      <c r="H18" s="17">
        <f t="shared" si="1"/>
        <v>0.31</v>
      </c>
      <c r="I18" s="16">
        <f t="shared" si="2"/>
        <v>1E-3</v>
      </c>
      <c r="J18" s="16">
        <f>ROUND(G18/1400-1,2)</f>
        <v>0.21</v>
      </c>
    </row>
    <row r="19" spans="1:10" x14ac:dyDescent="0.25">
      <c r="A19" s="1" t="s">
        <v>16</v>
      </c>
      <c r="B19" s="1" t="s">
        <v>23</v>
      </c>
      <c r="C19" s="11"/>
      <c r="D19" s="11"/>
      <c r="E19" s="11">
        <v>44400</v>
      </c>
      <c r="F19" s="11"/>
      <c r="G19" s="11">
        <f t="shared" si="0"/>
        <v>44400</v>
      </c>
      <c r="H19" s="17">
        <f t="shared" si="1"/>
        <v>8.1</v>
      </c>
      <c r="I19" s="16">
        <f t="shared" si="2"/>
        <v>0.02</v>
      </c>
      <c r="J19" s="16">
        <f>ROUND(G19/53080-1,2)</f>
        <v>-0.16</v>
      </c>
    </row>
    <row r="20" spans="1:10" x14ac:dyDescent="0.25">
      <c r="A20" s="1" t="s">
        <v>16</v>
      </c>
      <c r="B20" s="1" t="s">
        <v>24</v>
      </c>
      <c r="C20" s="11">
        <v>361130</v>
      </c>
      <c r="D20" s="11"/>
      <c r="E20" s="11">
        <v>19270</v>
      </c>
      <c r="F20" s="11">
        <v>390</v>
      </c>
      <c r="G20" s="11">
        <f t="shared" si="0"/>
        <v>380790</v>
      </c>
      <c r="H20" s="17">
        <f t="shared" si="1"/>
        <v>69.489999999999995</v>
      </c>
      <c r="I20" s="16">
        <f t="shared" si="2"/>
        <v>0.17299999999999999</v>
      </c>
      <c r="J20" s="16">
        <f>ROUND(G20/370110-1,2)</f>
        <v>0.03</v>
      </c>
    </row>
    <row r="21" spans="1:10" x14ac:dyDescent="0.25">
      <c r="A21" s="1" t="s">
        <v>16</v>
      </c>
      <c r="B21" s="1" t="s">
        <v>25</v>
      </c>
      <c r="C21" s="11"/>
      <c r="D21" s="11"/>
      <c r="E21" s="11">
        <v>7180</v>
      </c>
      <c r="F21" s="11"/>
      <c r="G21" s="11">
        <f t="shared" si="0"/>
        <v>7180</v>
      </c>
      <c r="H21" s="17">
        <f t="shared" si="1"/>
        <v>1.31</v>
      </c>
      <c r="I21" s="16">
        <f t="shared" si="2"/>
        <v>3.0000000000000001E-3</v>
      </c>
      <c r="J21" s="16">
        <f>ROUND(G21/6115-1,2)</f>
        <v>0.17</v>
      </c>
    </row>
    <row r="22" spans="1:10" x14ac:dyDescent="0.25">
      <c r="A22" s="1" t="s">
        <v>16</v>
      </c>
      <c r="B22" s="1" t="s">
        <v>26</v>
      </c>
      <c r="C22" s="11">
        <v>391100</v>
      </c>
      <c r="D22" s="11"/>
      <c r="E22" s="11"/>
      <c r="F22" s="11">
        <v>1380</v>
      </c>
      <c r="G22" s="11">
        <f t="shared" si="0"/>
        <v>392480</v>
      </c>
      <c r="H22" s="17">
        <f t="shared" si="1"/>
        <v>71.62</v>
      </c>
      <c r="I22" s="16">
        <f t="shared" si="2"/>
        <v>0.17799999999999999</v>
      </c>
      <c r="J22" s="16">
        <f>ROUND(G22/412810-1,2)</f>
        <v>-0.05</v>
      </c>
    </row>
    <row r="23" spans="1:10" x14ac:dyDescent="0.25">
      <c r="A23" s="1" t="s">
        <v>16</v>
      </c>
      <c r="B23" s="1" t="s">
        <v>27</v>
      </c>
      <c r="C23" s="11"/>
      <c r="D23" s="11"/>
      <c r="E23" s="11">
        <v>1670</v>
      </c>
      <c r="F23" s="11"/>
      <c r="G23" s="11">
        <f t="shared" si="0"/>
        <v>1670</v>
      </c>
      <c r="H23" s="17">
        <f t="shared" si="1"/>
        <v>0.3</v>
      </c>
      <c r="I23" s="16">
        <f t="shared" si="2"/>
        <v>1E-3</v>
      </c>
      <c r="J23" s="16">
        <f>ROUND(G23/1996-1,2)</f>
        <v>-0.16</v>
      </c>
    </row>
    <row r="24" spans="1:10" x14ac:dyDescent="0.25">
      <c r="A24" s="1" t="s">
        <v>16</v>
      </c>
      <c r="B24" s="1" t="s">
        <v>28</v>
      </c>
      <c r="C24" s="11"/>
      <c r="D24" s="11"/>
      <c r="E24" s="11">
        <v>1235</v>
      </c>
      <c r="F24" s="11"/>
      <c r="G24" s="11">
        <f t="shared" si="0"/>
        <v>1235</v>
      </c>
      <c r="H24" s="17">
        <f t="shared" si="1"/>
        <v>0.23</v>
      </c>
      <c r="I24" s="16">
        <f t="shared" si="2"/>
        <v>1E-3</v>
      </c>
      <c r="J24" s="16">
        <f>ROUND(G24/1272-1,2)</f>
        <v>-0.03</v>
      </c>
    </row>
    <row r="25" spans="1:10" x14ac:dyDescent="0.25">
      <c r="A25" s="1" t="s">
        <v>16</v>
      </c>
      <c r="B25" s="1" t="s">
        <v>29</v>
      </c>
      <c r="C25" s="11"/>
      <c r="D25" s="11"/>
      <c r="E25" s="11">
        <v>320</v>
      </c>
      <c r="F25" s="11"/>
      <c r="G25" s="11">
        <f t="shared" si="0"/>
        <v>320</v>
      </c>
      <c r="H25" s="17">
        <f t="shared" si="1"/>
        <v>0.06</v>
      </c>
      <c r="I25" s="16">
        <f t="shared" si="2"/>
        <v>0</v>
      </c>
      <c r="J25" s="16">
        <f>ROUND(G25/134-1,2)</f>
        <v>1.39</v>
      </c>
    </row>
    <row r="26" spans="1:10" x14ac:dyDescent="0.25">
      <c r="A26" s="1" t="s">
        <v>16</v>
      </c>
      <c r="B26" s="1" t="s">
        <v>30</v>
      </c>
      <c r="C26" s="11"/>
      <c r="D26" s="11"/>
      <c r="E26" s="11">
        <v>7750</v>
      </c>
      <c r="F26" s="11"/>
      <c r="G26" s="11">
        <f t="shared" si="0"/>
        <v>7750</v>
      </c>
      <c r="H26" s="17">
        <f t="shared" si="1"/>
        <v>1.41</v>
      </c>
      <c r="I26" s="16">
        <f t="shared" si="2"/>
        <v>4.0000000000000001E-3</v>
      </c>
      <c r="J26" s="16">
        <f>ROUND(G26/6230-1,2)</f>
        <v>0.24</v>
      </c>
    </row>
    <row r="27" spans="1:10" x14ac:dyDescent="0.25">
      <c r="A27" s="1" t="s">
        <v>16</v>
      </c>
      <c r="B27" s="1" t="s">
        <v>31</v>
      </c>
      <c r="C27" s="11"/>
      <c r="D27" s="11"/>
      <c r="E27" s="11">
        <v>1680</v>
      </c>
      <c r="F27" s="11"/>
      <c r="G27" s="11">
        <f t="shared" si="0"/>
        <v>1680</v>
      </c>
      <c r="H27" s="17">
        <f t="shared" si="1"/>
        <v>0.31</v>
      </c>
      <c r="I27" s="16">
        <f t="shared" si="2"/>
        <v>1E-3</v>
      </c>
      <c r="J27" s="16">
        <f>ROUND(G27/1730-1,2)</f>
        <v>-0.03</v>
      </c>
    </row>
    <row r="28" spans="1:10" x14ac:dyDescent="0.25">
      <c r="A28" s="1" t="s">
        <v>16</v>
      </c>
      <c r="B28" s="1" t="s">
        <v>32</v>
      </c>
      <c r="C28" s="11"/>
      <c r="D28" s="11"/>
      <c r="E28" s="11">
        <v>640</v>
      </c>
      <c r="F28" s="11"/>
      <c r="G28" s="11">
        <f t="shared" si="0"/>
        <v>640</v>
      </c>
      <c r="H28" s="17">
        <f t="shared" si="1"/>
        <v>0.12</v>
      </c>
      <c r="I28" s="16">
        <f t="shared" si="2"/>
        <v>0</v>
      </c>
      <c r="J28" s="16">
        <f>ROUND(G28/820-1,2)</f>
        <v>-0.22</v>
      </c>
    </row>
    <row r="29" spans="1:10" x14ac:dyDescent="0.25">
      <c r="A29" s="1" t="s">
        <v>16</v>
      </c>
      <c r="B29" s="1" t="s">
        <v>33</v>
      </c>
      <c r="C29" s="11"/>
      <c r="D29" s="11"/>
      <c r="E29" s="11">
        <v>2710</v>
      </c>
      <c r="F29" s="11"/>
      <c r="G29" s="11">
        <f t="shared" si="0"/>
        <v>2710</v>
      </c>
      <c r="H29" s="17">
        <f t="shared" si="1"/>
        <v>0.49</v>
      </c>
      <c r="I29" s="16">
        <f t="shared" si="2"/>
        <v>1E-3</v>
      </c>
      <c r="J29" s="16">
        <f>ROUND(G29/1965-1,2)</f>
        <v>0.38</v>
      </c>
    </row>
    <row r="30" spans="1:10" x14ac:dyDescent="0.25">
      <c r="A30" s="1" t="s">
        <v>16</v>
      </c>
      <c r="B30" s="1" t="s">
        <v>34</v>
      </c>
      <c r="C30" s="11"/>
      <c r="D30" s="11">
        <v>215</v>
      </c>
      <c r="E30" s="11">
        <v>438</v>
      </c>
      <c r="F30" s="11"/>
      <c r="G30" s="11">
        <f t="shared" si="0"/>
        <v>653</v>
      </c>
      <c r="H30" s="17">
        <f t="shared" si="1"/>
        <v>0.12</v>
      </c>
      <c r="I30" s="16">
        <f t="shared" si="2"/>
        <v>0</v>
      </c>
      <c r="J30" s="16">
        <f>ROUND(G30/514-1,2)</f>
        <v>0.27</v>
      </c>
    </row>
    <row r="31" spans="1:10" x14ac:dyDescent="0.25">
      <c r="A31" s="1" t="s">
        <v>16</v>
      </c>
      <c r="B31" s="1" t="s">
        <v>35</v>
      </c>
      <c r="C31" s="11"/>
      <c r="D31" s="11"/>
      <c r="E31" s="11">
        <v>1839</v>
      </c>
      <c r="F31" s="11"/>
      <c r="G31" s="11">
        <f t="shared" si="0"/>
        <v>1839</v>
      </c>
      <c r="H31" s="17">
        <f t="shared" si="1"/>
        <v>0.34</v>
      </c>
      <c r="I31" s="16">
        <f t="shared" si="2"/>
        <v>1E-3</v>
      </c>
      <c r="J31" s="16">
        <f>ROUND(G31/240-1,2)</f>
        <v>6.66</v>
      </c>
    </row>
    <row r="32" spans="1:10" x14ac:dyDescent="0.25">
      <c r="A32" s="1" t="s">
        <v>16</v>
      </c>
      <c r="B32" s="1" t="s">
        <v>37</v>
      </c>
      <c r="C32" s="11"/>
      <c r="D32" s="11"/>
      <c r="E32" s="11">
        <v>3680</v>
      </c>
      <c r="F32" s="11"/>
      <c r="G32" s="11">
        <f t="shared" si="0"/>
        <v>3680</v>
      </c>
      <c r="H32" s="17">
        <f t="shared" si="1"/>
        <v>0.67</v>
      </c>
      <c r="I32" s="16">
        <f t="shared" si="2"/>
        <v>2E-3</v>
      </c>
      <c r="J32" s="16">
        <f>ROUND(G32/4940-1,2)</f>
        <v>-0.26</v>
      </c>
    </row>
    <row r="33" spans="1:10" x14ac:dyDescent="0.25">
      <c r="A33" s="1" t="s">
        <v>16</v>
      </c>
      <c r="B33" s="1" t="s">
        <v>39</v>
      </c>
      <c r="C33" s="11"/>
      <c r="D33" s="11"/>
      <c r="E33" s="11">
        <v>18230</v>
      </c>
      <c r="F33" s="11"/>
      <c r="G33" s="11">
        <f t="shared" si="0"/>
        <v>18230</v>
      </c>
      <c r="H33" s="17">
        <f t="shared" si="1"/>
        <v>3.33</v>
      </c>
      <c r="I33" s="16">
        <f t="shared" si="2"/>
        <v>8.0000000000000002E-3</v>
      </c>
      <c r="J33" s="16">
        <f>ROUND(G33/14650-1,2)</f>
        <v>0.24</v>
      </c>
    </row>
    <row r="34" spans="1:10" x14ac:dyDescent="0.25">
      <c r="A34" s="1" t="s">
        <v>16</v>
      </c>
      <c r="B34" s="1" t="s">
        <v>38</v>
      </c>
      <c r="C34" s="11"/>
      <c r="D34" s="11"/>
      <c r="E34" s="11">
        <v>6420</v>
      </c>
      <c r="F34" s="11"/>
      <c r="G34" s="11">
        <f t="shared" si="0"/>
        <v>6420</v>
      </c>
      <c r="H34" s="17">
        <f t="shared" si="1"/>
        <v>1.17</v>
      </c>
      <c r="I34" s="16">
        <f t="shared" si="2"/>
        <v>3.0000000000000001E-3</v>
      </c>
      <c r="J34" s="16">
        <f>ROUND(G34/11020-1,2)</f>
        <v>-0.42</v>
      </c>
    </row>
    <row r="35" spans="1:10" x14ac:dyDescent="0.25">
      <c r="A35" s="1" t="s">
        <v>16</v>
      </c>
      <c r="B35" s="1" t="s">
        <v>40</v>
      </c>
      <c r="C35" s="11"/>
      <c r="D35" s="11"/>
      <c r="E35" s="11">
        <v>138365</v>
      </c>
      <c r="F35" s="11"/>
      <c r="G35" s="11">
        <f t="shared" si="0"/>
        <v>138365</v>
      </c>
      <c r="H35" s="17">
        <f t="shared" si="1"/>
        <v>25.25</v>
      </c>
      <c r="I35" s="16">
        <f t="shared" si="2"/>
        <v>6.3E-2</v>
      </c>
      <c r="J35" s="16">
        <f>ROUND(G35/92860-1,2)</f>
        <v>0.49</v>
      </c>
    </row>
    <row r="36" spans="1:10" x14ac:dyDescent="0.25">
      <c r="A36" s="1" t="s">
        <v>16</v>
      </c>
      <c r="B36" s="1" t="s">
        <v>41</v>
      </c>
      <c r="C36" s="11"/>
      <c r="D36" s="11"/>
      <c r="E36" s="11">
        <v>5110</v>
      </c>
      <c r="F36" s="11"/>
      <c r="G36" s="11">
        <f t="shared" si="0"/>
        <v>5110</v>
      </c>
      <c r="H36" s="17">
        <f t="shared" si="1"/>
        <v>0.93</v>
      </c>
      <c r="I36" s="16">
        <f t="shared" si="2"/>
        <v>2E-3</v>
      </c>
      <c r="J36" s="16">
        <f>ROUND(G36/5100-1,2)</f>
        <v>0</v>
      </c>
    </row>
    <row r="37" spans="1:10" x14ac:dyDescent="0.25">
      <c r="A37" s="1" t="s">
        <v>16</v>
      </c>
      <c r="B37" s="1" t="s">
        <v>42</v>
      </c>
      <c r="C37" s="11"/>
      <c r="D37" s="11"/>
      <c r="E37" s="11">
        <v>21960</v>
      </c>
      <c r="F37" s="11"/>
      <c r="G37" s="11">
        <f t="shared" si="0"/>
        <v>21960</v>
      </c>
      <c r="H37" s="17">
        <f t="shared" si="1"/>
        <v>4.01</v>
      </c>
      <c r="I37" s="16">
        <f t="shared" si="2"/>
        <v>0.01</v>
      </c>
      <c r="J37" s="16">
        <f>ROUND(G37/18520-1,2)</f>
        <v>0.19</v>
      </c>
    </row>
    <row r="38" spans="1:10" x14ac:dyDescent="0.25">
      <c r="A38" s="1" t="s">
        <v>16</v>
      </c>
      <c r="B38" s="1" t="s">
        <v>44</v>
      </c>
      <c r="C38" s="11">
        <v>7060</v>
      </c>
      <c r="D38" s="11">
        <v>72620</v>
      </c>
      <c r="E38" s="11">
        <v>110090</v>
      </c>
      <c r="F38" s="11">
        <v>9220</v>
      </c>
      <c r="G38" s="11">
        <f t="shared" si="0"/>
        <v>198990</v>
      </c>
      <c r="H38" s="17">
        <f t="shared" si="1"/>
        <v>36.31</v>
      </c>
      <c r="I38" s="16">
        <f t="shared" si="2"/>
        <v>0.09</v>
      </c>
      <c r="J38" s="16">
        <f>ROUND(G38/447110-1,2)</f>
        <v>-0.55000000000000004</v>
      </c>
    </row>
    <row r="39" spans="1:10" x14ac:dyDescent="0.25">
      <c r="A39" s="1" t="s">
        <v>16</v>
      </c>
      <c r="B39" s="1" t="s">
        <v>36</v>
      </c>
      <c r="C39" s="11"/>
      <c r="D39" s="11"/>
      <c r="E39" s="11"/>
      <c r="F39" s="11"/>
      <c r="G39" s="11">
        <f t="shared" si="0"/>
        <v>0</v>
      </c>
      <c r="H39" s="17">
        <f t="shared" si="1"/>
        <v>0</v>
      </c>
      <c r="I39" s="16">
        <f t="shared" si="2"/>
        <v>0</v>
      </c>
      <c r="J39" s="16">
        <f>ROUND(G39/710-1,2)</f>
        <v>-1</v>
      </c>
    </row>
    <row r="40" spans="1:10" x14ac:dyDescent="0.25">
      <c r="A40" s="1" t="s">
        <v>45</v>
      </c>
      <c r="B40" s="1" t="s">
        <v>46</v>
      </c>
      <c r="C40" s="11">
        <v>386170</v>
      </c>
      <c r="D40" s="11"/>
      <c r="E40" s="11"/>
      <c r="F40" s="11">
        <v>2090</v>
      </c>
      <c r="G40" s="11">
        <f t="shared" si="0"/>
        <v>388260</v>
      </c>
      <c r="H40" s="17">
        <f t="shared" si="1"/>
        <v>70.849999999999994</v>
      </c>
      <c r="I40" s="16">
        <f t="shared" si="2"/>
        <v>0.17699999999999999</v>
      </c>
      <c r="J40" s="16">
        <f>ROUND(G40/402060-1,2)</f>
        <v>-0.03</v>
      </c>
    </row>
    <row r="41" spans="1:10" x14ac:dyDescent="0.25">
      <c r="A41" s="1" t="s">
        <v>45</v>
      </c>
      <c r="B41" s="1" t="s">
        <v>48</v>
      </c>
      <c r="C41" s="11"/>
      <c r="D41" s="11"/>
      <c r="E41" s="11"/>
      <c r="F41" s="11">
        <v>17970</v>
      </c>
      <c r="G41" s="11">
        <f t="shared" si="0"/>
        <v>17970</v>
      </c>
      <c r="H41" s="17">
        <f t="shared" si="1"/>
        <v>3.28</v>
      </c>
      <c r="I41" s="16">
        <f t="shared" si="2"/>
        <v>8.0000000000000002E-3</v>
      </c>
      <c r="J41" s="16">
        <f>ROUND(G41/27210-1,2)</f>
        <v>-0.34</v>
      </c>
    </row>
    <row r="42" spans="1:10" x14ac:dyDescent="0.25">
      <c r="A42" s="1" t="s">
        <v>45</v>
      </c>
      <c r="B42" s="1" t="s">
        <v>47</v>
      </c>
      <c r="C42" s="11"/>
      <c r="D42" s="11"/>
      <c r="E42" s="11">
        <v>96990</v>
      </c>
      <c r="F42" s="11"/>
      <c r="G42" s="11">
        <f t="shared" si="0"/>
        <v>96990</v>
      </c>
      <c r="H42" s="17">
        <f t="shared" si="1"/>
        <v>17.7</v>
      </c>
      <c r="I42" s="16">
        <f t="shared" si="2"/>
        <v>4.3999999999999997E-2</v>
      </c>
      <c r="J42" s="16">
        <f>ROUND(G42/78605-1,2)</f>
        <v>0.23</v>
      </c>
    </row>
    <row r="43" spans="1:10" x14ac:dyDescent="0.25">
      <c r="A43" s="26" t="s">
        <v>12</v>
      </c>
      <c r="B43" s="26"/>
      <c r="C43" s="12">
        <f t="shared" ref="C43:H43" si="3">SUM(C8:C42)</f>
        <v>1598710</v>
      </c>
      <c r="D43" s="12">
        <f t="shared" si="3"/>
        <v>74015</v>
      </c>
      <c r="E43" s="12">
        <f t="shared" si="3"/>
        <v>494079</v>
      </c>
      <c r="F43" s="12">
        <f t="shared" si="3"/>
        <v>32230</v>
      </c>
      <c r="G43" s="12">
        <f t="shared" si="3"/>
        <v>2199034</v>
      </c>
      <c r="H43" s="15">
        <f t="shared" si="3"/>
        <v>401.3</v>
      </c>
      <c r="I43" s="18"/>
      <c r="J43" s="18"/>
    </row>
    <row r="44" spans="1:10" x14ac:dyDescent="0.25">
      <c r="A44" s="26" t="s">
        <v>14</v>
      </c>
      <c r="B44" s="26"/>
      <c r="C44" s="13">
        <f>ROUND(C43/G43,2)</f>
        <v>0.73</v>
      </c>
      <c r="D44" s="13">
        <f>ROUND(D43/G43,2)</f>
        <v>0.03</v>
      </c>
      <c r="E44" s="13">
        <f>ROUND(E43/G43,2)</f>
        <v>0.22</v>
      </c>
      <c r="F44" s="13">
        <f>ROUND(F43/G43,2)</f>
        <v>0.01</v>
      </c>
      <c r="G44" s="14"/>
      <c r="H44" s="14"/>
      <c r="I44" s="18"/>
      <c r="J44" s="18"/>
    </row>
    <row r="45" spans="1:10" x14ac:dyDescent="0.25">
      <c r="A45" s="2" t="s">
        <v>53</v>
      </c>
      <c r="B45" s="2"/>
      <c r="C45" s="14"/>
      <c r="D45" s="14"/>
      <c r="E45" s="14"/>
      <c r="F45" s="14"/>
      <c r="G45" s="14"/>
      <c r="H45" s="14"/>
      <c r="I45" s="18"/>
      <c r="J45" s="18"/>
    </row>
    <row r="46" spans="1:10" x14ac:dyDescent="0.25">
      <c r="C46" s="9"/>
      <c r="D46" s="9"/>
      <c r="E46" s="9"/>
      <c r="F46" s="9"/>
      <c r="G46" s="9"/>
      <c r="H46" s="9"/>
      <c r="I46" s="10"/>
      <c r="J46" s="10"/>
    </row>
    <row r="47" spans="1:10" x14ac:dyDescent="0.25">
      <c r="C47" s="9"/>
      <c r="D47" s="9"/>
      <c r="E47" s="9"/>
      <c r="F47" s="9"/>
      <c r="G47" s="9"/>
      <c r="H47" s="9"/>
      <c r="I47" s="10"/>
      <c r="J47" s="10"/>
    </row>
    <row r="48" spans="1:10" x14ac:dyDescent="0.25">
      <c r="C48" s="9"/>
      <c r="D48" s="9"/>
      <c r="E48" s="9"/>
      <c r="F48" s="9"/>
      <c r="G48" s="9"/>
      <c r="H48" s="9"/>
      <c r="I48" s="10"/>
      <c r="J48" s="10"/>
    </row>
    <row r="49" spans="1:10" x14ac:dyDescent="0.25">
      <c r="A49" s="26" t="s">
        <v>54</v>
      </c>
      <c r="B49" s="26"/>
      <c r="C49" s="12" t="s">
        <v>8</v>
      </c>
      <c r="D49" s="12" t="s">
        <v>9</v>
      </c>
      <c r="E49" s="12" t="s">
        <v>10</v>
      </c>
      <c r="F49" s="12" t="s">
        <v>11</v>
      </c>
      <c r="G49" s="12" t="s">
        <v>12</v>
      </c>
      <c r="H49" s="15" t="s">
        <v>13</v>
      </c>
      <c r="I49" s="18"/>
      <c r="J49" s="18"/>
    </row>
    <row r="50" spans="1:10" x14ac:dyDescent="0.25">
      <c r="A50" s="21" t="s">
        <v>55</v>
      </c>
      <c r="B50" s="21"/>
      <c r="C50" s="11">
        <v>1212540</v>
      </c>
      <c r="D50" s="11">
        <v>74015</v>
      </c>
      <c r="E50" s="11">
        <v>397089</v>
      </c>
      <c r="F50" s="11">
        <v>11620</v>
      </c>
      <c r="G50" s="11">
        <f>SUM(C50:F50)</f>
        <v>1695264</v>
      </c>
      <c r="H50" s="17">
        <f>ROUND(G50/5480,2)</f>
        <v>309.35000000000002</v>
      </c>
      <c r="I50" s="10"/>
      <c r="J50" s="10"/>
    </row>
    <row r="51" spans="1:10" x14ac:dyDescent="0.25">
      <c r="A51" s="21" t="s">
        <v>56</v>
      </c>
      <c r="B51" s="21"/>
      <c r="C51" s="11">
        <v>386170</v>
      </c>
      <c r="D51" s="11">
        <v>0</v>
      </c>
      <c r="E51" s="11">
        <v>96990</v>
      </c>
      <c r="F51" s="11">
        <v>20060</v>
      </c>
      <c r="G51" s="11">
        <f>SUM(C51:F51)</f>
        <v>503220</v>
      </c>
      <c r="H51" s="17">
        <f>ROUND(G51/5480,2)</f>
        <v>91.83</v>
      </c>
      <c r="I51" s="10"/>
      <c r="J51" s="10"/>
    </row>
    <row r="52" spans="1:10" x14ac:dyDescent="0.25">
      <c r="A52" s="21" t="s">
        <v>57</v>
      </c>
      <c r="B52" s="21"/>
      <c r="C52" s="11">
        <v>0</v>
      </c>
      <c r="D52" s="11">
        <v>0</v>
      </c>
      <c r="E52" s="11">
        <v>0</v>
      </c>
      <c r="F52" s="11">
        <v>550</v>
      </c>
      <c r="G52" s="11">
        <f>SUM(C52:F52)</f>
        <v>550</v>
      </c>
      <c r="H52" s="17">
        <f>ROUND(G52/5480,2)</f>
        <v>0.1</v>
      </c>
      <c r="I52" s="10"/>
      <c r="J52" s="10"/>
    </row>
    <row r="53" spans="1:10" x14ac:dyDescent="0.25">
      <c r="C53" s="9"/>
      <c r="D53" s="9"/>
      <c r="E53" s="9"/>
      <c r="F53" s="9"/>
      <c r="G53" s="9"/>
      <c r="H53" s="9"/>
      <c r="I53" s="10"/>
      <c r="J53" s="10"/>
    </row>
    <row r="54" spans="1:10" x14ac:dyDescent="0.25">
      <c r="C54" s="9"/>
      <c r="D54" s="9"/>
      <c r="E54" s="9"/>
      <c r="F54" s="9"/>
      <c r="G54" s="9"/>
      <c r="H54" s="9"/>
      <c r="I54" s="10"/>
      <c r="J54" s="10"/>
    </row>
    <row r="55" spans="1:10" x14ac:dyDescent="0.25">
      <c r="C55" s="9"/>
      <c r="D55" s="9"/>
      <c r="E55" s="9"/>
      <c r="F55" s="9"/>
      <c r="G55" s="9"/>
      <c r="H55" s="9"/>
      <c r="I55" s="10"/>
      <c r="J55" s="10"/>
    </row>
    <row r="56" spans="1:10" x14ac:dyDescent="0.25">
      <c r="C56" s="9"/>
      <c r="D56" s="9"/>
      <c r="E56" s="9"/>
      <c r="F56" s="9"/>
      <c r="G56" s="9"/>
      <c r="H56" s="9"/>
      <c r="I56" s="10"/>
      <c r="J56" s="10"/>
    </row>
    <row r="57" spans="1:10" x14ac:dyDescent="0.25">
      <c r="A57" s="26" t="s">
        <v>58</v>
      </c>
      <c r="B57" s="26"/>
      <c r="C57" s="15" t="s">
        <v>2</v>
      </c>
      <c r="D57" s="15">
        <v>2024</v>
      </c>
      <c r="E57" s="15" t="s">
        <v>60</v>
      </c>
      <c r="F57" s="14"/>
      <c r="G57" s="15" t="s">
        <v>61</v>
      </c>
      <c r="H57" s="15" t="s">
        <v>2</v>
      </c>
      <c r="I57" s="13" t="s">
        <v>62</v>
      </c>
      <c r="J57" s="13" t="s">
        <v>60</v>
      </c>
    </row>
    <row r="58" spans="1:10" x14ac:dyDescent="0.25">
      <c r="A58" s="21" t="s">
        <v>59</v>
      </c>
      <c r="B58" s="21"/>
      <c r="C58" s="16">
        <f>ROUND(0.8196, 4)</f>
        <v>0.8196</v>
      </c>
      <c r="D58" s="16">
        <f>ROUND(0.8259, 4)</f>
        <v>0.82589999999999997</v>
      </c>
      <c r="E58" s="16">
        <f>ROUND(0.7856, 4)</f>
        <v>0.78559999999999997</v>
      </c>
      <c r="F58" s="9"/>
      <c r="G58" s="15" t="s">
        <v>63</v>
      </c>
      <c r="H58" s="27" t="s">
        <v>64</v>
      </c>
      <c r="I58" s="24" t="s">
        <v>65</v>
      </c>
      <c r="J58" s="24" t="s">
        <v>66</v>
      </c>
    </row>
    <row r="59" spans="1:10" x14ac:dyDescent="0.25">
      <c r="A59" s="21" t="s">
        <v>67</v>
      </c>
      <c r="B59" s="21"/>
      <c r="C59" s="16">
        <f>ROUND(0.8196, 4)</f>
        <v>0.8196</v>
      </c>
      <c r="D59" s="16">
        <f>ROUND(0.8124, 4)</f>
        <v>0.81240000000000001</v>
      </c>
      <c r="E59" s="16">
        <f>ROUND(0.7702, 4)</f>
        <v>0.7702</v>
      </c>
      <c r="F59" s="9"/>
      <c r="G59" s="15" t="s">
        <v>68</v>
      </c>
      <c r="H59" s="28"/>
      <c r="I59" s="25"/>
      <c r="J59" s="25"/>
    </row>
    <row r="60" spans="1:10" x14ac:dyDescent="0.25">
      <c r="C60" s="9"/>
      <c r="D60" s="9"/>
      <c r="E60" s="9"/>
      <c r="F60" s="9"/>
      <c r="G60" s="9"/>
      <c r="H60" s="9"/>
      <c r="I60" s="10"/>
      <c r="J60" s="10"/>
    </row>
    <row r="61" spans="1:10" x14ac:dyDescent="0.25">
      <c r="C61" s="9"/>
      <c r="D61" s="9"/>
      <c r="E61" s="9"/>
      <c r="F61" s="9"/>
      <c r="G61" s="9"/>
      <c r="H61" s="9"/>
      <c r="I61" s="10"/>
      <c r="J61" s="10"/>
    </row>
    <row r="62" spans="1:10" x14ac:dyDescent="0.25">
      <c r="C62" s="9"/>
      <c r="D62" s="9"/>
      <c r="E62" s="9"/>
      <c r="F62" s="9"/>
      <c r="G62" s="9"/>
      <c r="H62" s="9"/>
      <c r="I62" s="10"/>
      <c r="J62" s="10"/>
    </row>
    <row r="63" spans="1:10" x14ac:dyDescent="0.25">
      <c r="A63" s="26" t="s">
        <v>69</v>
      </c>
      <c r="B63" s="26"/>
      <c r="C63" s="15" t="s">
        <v>2</v>
      </c>
      <c r="D63" s="15" t="s">
        <v>251</v>
      </c>
      <c r="E63" s="15" t="s">
        <v>71</v>
      </c>
      <c r="F63" s="15" t="s">
        <v>72</v>
      </c>
      <c r="G63" s="15" t="s">
        <v>73</v>
      </c>
      <c r="H63" s="14"/>
      <c r="I63" s="18"/>
      <c r="J63" s="18"/>
    </row>
    <row r="64" spans="1:10" x14ac:dyDescent="0.25">
      <c r="A64" s="21" t="s">
        <v>74</v>
      </c>
      <c r="B64" s="21"/>
      <c r="C64" s="17">
        <v>70.849999999999994</v>
      </c>
      <c r="D64" s="17">
        <v>92.97</v>
      </c>
      <c r="E64" s="17">
        <v>96.15</v>
      </c>
      <c r="F64" s="17">
        <v>57.94</v>
      </c>
      <c r="G64" s="17">
        <f>12/12*C64</f>
        <v>70.849999999999994</v>
      </c>
      <c r="H64" s="9"/>
      <c r="I64" s="10"/>
      <c r="J64" s="10"/>
    </row>
    <row r="65" spans="1:10" x14ac:dyDescent="0.25">
      <c r="A65" s="21" t="s">
        <v>75</v>
      </c>
      <c r="B65" s="21"/>
      <c r="C65" s="17">
        <v>71.62</v>
      </c>
      <c r="D65" s="17">
        <v>73.69</v>
      </c>
      <c r="E65" s="17">
        <v>62.28</v>
      </c>
      <c r="F65" s="17">
        <v>66.599999999999994</v>
      </c>
      <c r="G65" s="17">
        <f>12/12*C65</f>
        <v>71.62</v>
      </c>
      <c r="H65" s="9"/>
      <c r="I65" s="10"/>
      <c r="J65" s="10"/>
    </row>
    <row r="66" spans="1:10" x14ac:dyDescent="0.25">
      <c r="A66" s="21" t="s">
        <v>76</v>
      </c>
      <c r="B66" s="21"/>
      <c r="C66" s="17">
        <v>309.35000000000002</v>
      </c>
      <c r="D66" s="17">
        <v>378</v>
      </c>
      <c r="E66" s="17">
        <v>300.02</v>
      </c>
      <c r="F66" s="17">
        <v>295.08</v>
      </c>
      <c r="G66" s="17">
        <f>12/12*C66</f>
        <v>309.35000000000002</v>
      </c>
      <c r="H66" s="9"/>
      <c r="I66" s="10"/>
      <c r="J66" s="10"/>
    </row>
    <row r="67" spans="1:10" x14ac:dyDescent="0.25">
      <c r="A67" s="21" t="s">
        <v>77</v>
      </c>
      <c r="B67" s="21"/>
      <c r="C67" s="17">
        <v>91.83</v>
      </c>
      <c r="D67" s="17">
        <v>111.89</v>
      </c>
      <c r="E67" s="17">
        <v>120.96</v>
      </c>
      <c r="F67" s="17">
        <v>83.12</v>
      </c>
      <c r="G67" s="17">
        <f>12/12*C67</f>
        <v>91.83</v>
      </c>
      <c r="H67" s="9"/>
      <c r="I67" s="10"/>
      <c r="J67" s="10"/>
    </row>
    <row r="68" spans="1:10" x14ac:dyDescent="0.25">
      <c r="C68" s="9"/>
      <c r="D68" s="9"/>
      <c r="E68" s="9"/>
      <c r="F68" s="9"/>
      <c r="G68" s="9"/>
      <c r="H68" s="9"/>
      <c r="I68" s="10"/>
      <c r="J68" s="10"/>
    </row>
    <row r="69" spans="1:10" x14ac:dyDescent="0.25">
      <c r="C69" s="9"/>
      <c r="D69" s="9"/>
      <c r="E69" s="9"/>
      <c r="F69" s="9"/>
      <c r="G69" s="9"/>
      <c r="H69" s="9"/>
      <c r="I69" s="10"/>
      <c r="J69" s="10"/>
    </row>
    <row r="70" spans="1:10" x14ac:dyDescent="0.25">
      <c r="A70" s="22" t="s">
        <v>61</v>
      </c>
      <c r="B70" s="23"/>
      <c r="C70" s="9"/>
      <c r="D70" s="9"/>
      <c r="E70" s="9"/>
      <c r="F70" s="9"/>
      <c r="G70" s="9"/>
      <c r="H70" s="9"/>
      <c r="I70" s="10"/>
      <c r="J70" s="10"/>
    </row>
    <row r="71" spans="1:10" x14ac:dyDescent="0.25">
      <c r="A71" s="3" t="s">
        <v>78</v>
      </c>
      <c r="B71" s="1" t="s">
        <v>252</v>
      </c>
      <c r="C71" s="9"/>
      <c r="D71" s="9"/>
      <c r="E71" s="9"/>
      <c r="F71" s="9"/>
      <c r="G71" s="9"/>
      <c r="H71" s="9"/>
      <c r="I71" s="10"/>
      <c r="J71" s="10"/>
    </row>
    <row r="72" spans="1:10" x14ac:dyDescent="0.25">
      <c r="A72" s="3" t="s">
        <v>71</v>
      </c>
      <c r="B72" s="1" t="s">
        <v>80</v>
      </c>
      <c r="C72" s="9"/>
      <c r="D72" s="9"/>
      <c r="E72" s="9"/>
      <c r="F72" s="9"/>
      <c r="G72" s="9"/>
      <c r="H72" s="9"/>
      <c r="I72" s="10"/>
      <c r="J72" s="10"/>
    </row>
    <row r="73" spans="1:10" x14ac:dyDescent="0.25">
      <c r="A73" s="3" t="s">
        <v>72</v>
      </c>
      <c r="B73" s="1" t="s">
        <v>81</v>
      </c>
      <c r="C73" s="9"/>
      <c r="D73" s="9"/>
      <c r="E73" s="9"/>
      <c r="F73" s="9"/>
      <c r="G73" s="9"/>
      <c r="H73" s="9"/>
      <c r="I73" s="10"/>
      <c r="J73" s="10"/>
    </row>
    <row r="74" spans="1:10" x14ac:dyDescent="0.25">
      <c r="A74" s="3" t="s">
        <v>73</v>
      </c>
      <c r="B74" s="1" t="s">
        <v>82</v>
      </c>
      <c r="C74" s="9"/>
      <c r="D74" s="9"/>
      <c r="E74" s="9"/>
      <c r="F74" s="9"/>
      <c r="G74" s="9"/>
      <c r="H74" s="9"/>
      <c r="I74" s="10"/>
      <c r="J74" s="10"/>
    </row>
    <row r="75" spans="1:10" x14ac:dyDescent="0.25">
      <c r="C75" s="9"/>
      <c r="D75" s="9"/>
      <c r="E75" s="9"/>
      <c r="F75" s="9"/>
      <c r="G75" s="9"/>
      <c r="H75" s="9"/>
      <c r="I75" s="10"/>
      <c r="J75" s="10"/>
    </row>
    <row r="76" spans="1:10" x14ac:dyDescent="0.25">
      <c r="C76" s="9"/>
      <c r="D76" s="9"/>
      <c r="E76" s="9"/>
      <c r="F76" s="9"/>
      <c r="G76" s="9"/>
      <c r="H76" s="9"/>
      <c r="I76" s="10"/>
      <c r="J76" s="10"/>
    </row>
    <row r="77" spans="1:10" x14ac:dyDescent="0.25">
      <c r="C77" s="9"/>
      <c r="D77" s="9"/>
      <c r="E77" s="9"/>
      <c r="F77" s="9"/>
      <c r="G77" s="9"/>
      <c r="H77" s="9"/>
      <c r="I77" s="10"/>
      <c r="J77" s="10"/>
    </row>
    <row r="78" spans="1:10" x14ac:dyDescent="0.25">
      <c r="C78" s="9"/>
      <c r="D78" s="9"/>
      <c r="E78" s="9"/>
      <c r="F78" s="9"/>
      <c r="G78" s="9"/>
      <c r="H78" s="9"/>
      <c r="I78" s="10"/>
      <c r="J78" s="10"/>
    </row>
    <row r="79" spans="1:10" x14ac:dyDescent="0.25">
      <c r="C79" s="9"/>
      <c r="D79" s="9"/>
      <c r="E79" s="9"/>
      <c r="F79" s="9"/>
      <c r="G79" s="9"/>
      <c r="H79" s="9"/>
      <c r="I79" s="10"/>
      <c r="J79" s="10"/>
    </row>
  </sheetData>
  <mergeCells count="19">
    <mergeCell ref="C7:G7"/>
    <mergeCell ref="A43:B43"/>
    <mergeCell ref="A44:B44"/>
    <mergeCell ref="A49:B49"/>
    <mergeCell ref="A50:B50"/>
    <mergeCell ref="J58:J59"/>
    <mergeCell ref="A59:B59"/>
    <mergeCell ref="A63:B63"/>
    <mergeCell ref="A64:B64"/>
    <mergeCell ref="A51:B51"/>
    <mergeCell ref="A52:B52"/>
    <mergeCell ref="A57:B57"/>
    <mergeCell ref="A58:B58"/>
    <mergeCell ref="H58:H59"/>
    <mergeCell ref="A65:B65"/>
    <mergeCell ref="A66:B66"/>
    <mergeCell ref="A67:B67"/>
    <mergeCell ref="A70:B70"/>
    <mergeCell ref="I58:I59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J79"/>
  <sheetViews>
    <sheetView workbookViewId="0">
      <selection activeCell="H5" sqref="H5"/>
    </sheetView>
  </sheetViews>
  <sheetFormatPr defaultRowHeight="15" x14ac:dyDescent="0.25"/>
  <cols>
    <col min="1" max="1" width="28.42578125" bestFit="1" customWidth="1"/>
    <col min="2" max="2" width="59.5703125" bestFit="1" customWidth="1"/>
    <col min="3" max="3" width="12.7109375" bestFit="1" customWidth="1"/>
    <col min="4" max="4" width="34.140625" bestFit="1" customWidth="1"/>
    <col min="5" max="5" width="13.85546875" bestFit="1" customWidth="1"/>
    <col min="6" max="6" width="8.5703125" bestFit="1" customWidth="1"/>
    <col min="7" max="7" width="47.7109375" bestFit="1" customWidth="1"/>
    <col min="8" max="9" width="16.7109375" bestFit="1" customWidth="1"/>
    <col min="10" max="10" width="24.42578125" bestFit="1" customWidth="1"/>
  </cols>
  <sheetData>
    <row r="2" spans="1:10" ht="18.75" x14ac:dyDescent="0.3">
      <c r="A2" s="3" t="s">
        <v>0</v>
      </c>
      <c r="B2" s="4" t="s">
        <v>253</v>
      </c>
    </row>
    <row r="3" spans="1:10" x14ac:dyDescent="0.25">
      <c r="A3" s="3" t="s">
        <v>2</v>
      </c>
      <c r="B3" s="1" t="s">
        <v>3</v>
      </c>
    </row>
    <row r="4" spans="1:10" x14ac:dyDescent="0.25">
      <c r="A4" s="3" t="s">
        <v>4</v>
      </c>
      <c r="B4" s="20">
        <v>6878</v>
      </c>
    </row>
    <row r="7" spans="1:10" x14ac:dyDescent="0.25">
      <c r="C7" s="22" t="s">
        <v>5</v>
      </c>
      <c r="D7" s="21"/>
      <c r="E7" s="21"/>
      <c r="F7" s="21"/>
      <c r="G7" s="21"/>
    </row>
    <row r="8" spans="1:10" x14ac:dyDescent="0.25">
      <c r="A8" s="3" t="s">
        <v>6</v>
      </c>
      <c r="B8" s="3" t="s">
        <v>7</v>
      </c>
      <c r="C8" s="15" t="s">
        <v>8</v>
      </c>
      <c r="D8" s="15" t="s">
        <v>9</v>
      </c>
      <c r="E8" s="15" t="s">
        <v>10</v>
      </c>
      <c r="F8" s="15" t="s">
        <v>11</v>
      </c>
      <c r="G8" s="15" t="s">
        <v>12</v>
      </c>
      <c r="H8" s="15" t="s">
        <v>13</v>
      </c>
      <c r="I8" s="15" t="s">
        <v>14</v>
      </c>
      <c r="J8" s="15" t="s">
        <v>15</v>
      </c>
    </row>
    <row r="9" spans="1:10" x14ac:dyDescent="0.25">
      <c r="A9" s="1" t="s">
        <v>49</v>
      </c>
      <c r="B9" s="1" t="s">
        <v>50</v>
      </c>
      <c r="C9" s="11"/>
      <c r="D9" s="11"/>
      <c r="E9" s="11"/>
      <c r="F9" s="11">
        <v>540</v>
      </c>
      <c r="G9" s="11">
        <f t="shared" ref="G9:G47" si="0">SUM(C9:F9)</f>
        <v>540</v>
      </c>
      <c r="H9" s="17">
        <f t="shared" ref="H9:H47" si="1">ROUND(G9/6878,2)</f>
        <v>0.08</v>
      </c>
      <c r="I9" s="16">
        <f t="shared" ref="I9:I47" si="2">ROUND(G9/$G$48,3)</f>
        <v>0</v>
      </c>
      <c r="J9" s="16"/>
    </row>
    <row r="10" spans="1:10" x14ac:dyDescent="0.25">
      <c r="A10" s="1" t="s">
        <v>49</v>
      </c>
      <c r="B10" s="1" t="s">
        <v>51</v>
      </c>
      <c r="C10" s="11"/>
      <c r="D10" s="11"/>
      <c r="E10" s="11"/>
      <c r="F10" s="11"/>
      <c r="G10" s="11">
        <f t="shared" si="0"/>
        <v>0</v>
      </c>
      <c r="H10" s="17">
        <f t="shared" si="1"/>
        <v>0</v>
      </c>
      <c r="I10" s="16">
        <f t="shared" si="2"/>
        <v>0</v>
      </c>
      <c r="J10" s="16"/>
    </row>
    <row r="11" spans="1:10" x14ac:dyDescent="0.25">
      <c r="A11" s="1" t="s">
        <v>49</v>
      </c>
      <c r="B11" s="1" t="s">
        <v>52</v>
      </c>
      <c r="C11" s="11"/>
      <c r="D11" s="11"/>
      <c r="E11" s="11"/>
      <c r="F11" s="11"/>
      <c r="G11" s="11">
        <f t="shared" si="0"/>
        <v>0</v>
      </c>
      <c r="H11" s="17">
        <f t="shared" si="1"/>
        <v>0</v>
      </c>
      <c r="I11" s="16">
        <f t="shared" si="2"/>
        <v>0</v>
      </c>
      <c r="J11" s="16"/>
    </row>
    <row r="12" spans="1:10" x14ac:dyDescent="0.25">
      <c r="A12" s="1" t="s">
        <v>49</v>
      </c>
      <c r="B12" s="1" t="s">
        <v>88</v>
      </c>
      <c r="C12" s="11"/>
      <c r="D12" s="11"/>
      <c r="E12" s="11"/>
      <c r="F12" s="11"/>
      <c r="G12" s="11">
        <f t="shared" si="0"/>
        <v>0</v>
      </c>
      <c r="H12" s="17">
        <f t="shared" si="1"/>
        <v>0</v>
      </c>
      <c r="I12" s="16">
        <f t="shared" si="2"/>
        <v>0</v>
      </c>
      <c r="J12" s="16"/>
    </row>
    <row r="13" spans="1:10" x14ac:dyDescent="0.25">
      <c r="A13" s="1" t="s">
        <v>16</v>
      </c>
      <c r="B13" s="1" t="s">
        <v>17</v>
      </c>
      <c r="C13" s="11"/>
      <c r="D13" s="11"/>
      <c r="E13" s="11">
        <v>276</v>
      </c>
      <c r="F13" s="11"/>
      <c r="G13" s="11">
        <f t="shared" si="0"/>
        <v>276</v>
      </c>
      <c r="H13" s="17">
        <f t="shared" si="1"/>
        <v>0.04</v>
      </c>
      <c r="I13" s="16">
        <f t="shared" si="2"/>
        <v>0</v>
      </c>
      <c r="J13" s="16">
        <f>ROUND(G13/115-1,2)</f>
        <v>1.4</v>
      </c>
    </row>
    <row r="14" spans="1:10" x14ac:dyDescent="0.25">
      <c r="A14" s="1" t="s">
        <v>16</v>
      </c>
      <c r="B14" s="1" t="s">
        <v>19</v>
      </c>
      <c r="C14" s="11">
        <v>227960</v>
      </c>
      <c r="D14" s="11"/>
      <c r="E14" s="11">
        <v>3050</v>
      </c>
      <c r="F14" s="11">
        <v>500</v>
      </c>
      <c r="G14" s="11">
        <f t="shared" si="0"/>
        <v>231510</v>
      </c>
      <c r="H14" s="17">
        <f t="shared" si="1"/>
        <v>33.659999999999997</v>
      </c>
      <c r="I14" s="16">
        <f t="shared" si="2"/>
        <v>9.1999999999999998E-2</v>
      </c>
      <c r="J14" s="16">
        <f>ROUND(G14/225880-1,2)</f>
        <v>0.02</v>
      </c>
    </row>
    <row r="15" spans="1:10" x14ac:dyDescent="0.25">
      <c r="A15" s="1" t="s">
        <v>16</v>
      </c>
      <c r="B15" s="1" t="s">
        <v>20</v>
      </c>
      <c r="C15" s="11">
        <v>256620</v>
      </c>
      <c r="D15" s="11"/>
      <c r="E15" s="11"/>
      <c r="F15" s="11"/>
      <c r="G15" s="11">
        <f t="shared" si="0"/>
        <v>256620</v>
      </c>
      <c r="H15" s="17">
        <f t="shared" si="1"/>
        <v>37.31</v>
      </c>
      <c r="I15" s="16">
        <f t="shared" si="2"/>
        <v>0.10199999999999999</v>
      </c>
      <c r="J15" s="16">
        <f>ROUND(G15/246610-1,2)</f>
        <v>0.04</v>
      </c>
    </row>
    <row r="16" spans="1:10" x14ac:dyDescent="0.25">
      <c r="A16" s="1" t="s">
        <v>16</v>
      </c>
      <c r="B16" s="1" t="s">
        <v>87</v>
      </c>
      <c r="C16" s="11"/>
      <c r="D16" s="11"/>
      <c r="E16" s="11">
        <v>303</v>
      </c>
      <c r="F16" s="11"/>
      <c r="G16" s="11">
        <f t="shared" si="0"/>
        <v>303</v>
      </c>
      <c r="H16" s="17">
        <f t="shared" si="1"/>
        <v>0.04</v>
      </c>
      <c r="I16" s="16">
        <f t="shared" si="2"/>
        <v>0</v>
      </c>
      <c r="J16" s="16">
        <f>ROUND(G16/425-1,2)</f>
        <v>-0.28999999999999998</v>
      </c>
    </row>
    <row r="17" spans="1:10" x14ac:dyDescent="0.25">
      <c r="A17" s="1" t="s">
        <v>16</v>
      </c>
      <c r="B17" s="1" t="s">
        <v>21</v>
      </c>
      <c r="C17" s="11"/>
      <c r="D17" s="11"/>
      <c r="E17" s="11">
        <v>300</v>
      </c>
      <c r="F17" s="11"/>
      <c r="G17" s="11">
        <f t="shared" si="0"/>
        <v>300</v>
      </c>
      <c r="H17" s="17">
        <f t="shared" si="1"/>
        <v>0.04</v>
      </c>
      <c r="I17" s="16">
        <f t="shared" si="2"/>
        <v>0</v>
      </c>
      <c r="J17" s="16">
        <f>ROUND(G17/476-1,2)</f>
        <v>-0.37</v>
      </c>
    </row>
    <row r="18" spans="1:10" x14ac:dyDescent="0.25">
      <c r="A18" s="1" t="s">
        <v>16</v>
      </c>
      <c r="B18" s="1" t="s">
        <v>22</v>
      </c>
      <c r="C18" s="11"/>
      <c r="D18" s="11"/>
      <c r="E18" s="11">
        <v>3000</v>
      </c>
      <c r="F18" s="11"/>
      <c r="G18" s="11">
        <f t="shared" si="0"/>
        <v>3000</v>
      </c>
      <c r="H18" s="17">
        <f t="shared" si="1"/>
        <v>0.44</v>
      </c>
      <c r="I18" s="16">
        <f t="shared" si="2"/>
        <v>1E-3</v>
      </c>
      <c r="J18" s="16">
        <f>ROUND(G18/3640-1,2)</f>
        <v>-0.18</v>
      </c>
    </row>
    <row r="19" spans="1:10" x14ac:dyDescent="0.25">
      <c r="A19" s="1" t="s">
        <v>16</v>
      </c>
      <c r="B19" s="1" t="s">
        <v>96</v>
      </c>
      <c r="C19" s="11"/>
      <c r="D19" s="11"/>
      <c r="E19" s="11"/>
      <c r="F19" s="11">
        <v>1900</v>
      </c>
      <c r="G19" s="11">
        <f t="shared" si="0"/>
        <v>1900</v>
      </c>
      <c r="H19" s="17">
        <f t="shared" si="1"/>
        <v>0.28000000000000003</v>
      </c>
      <c r="I19" s="16">
        <f t="shared" si="2"/>
        <v>1E-3</v>
      </c>
      <c r="J19" s="16"/>
    </row>
    <row r="20" spans="1:10" x14ac:dyDescent="0.25">
      <c r="A20" s="1" t="s">
        <v>16</v>
      </c>
      <c r="B20" s="1" t="s">
        <v>23</v>
      </c>
      <c r="C20" s="11"/>
      <c r="D20" s="11"/>
      <c r="E20" s="11">
        <v>128500</v>
      </c>
      <c r="F20" s="11"/>
      <c r="G20" s="11">
        <f t="shared" si="0"/>
        <v>128500</v>
      </c>
      <c r="H20" s="17">
        <f t="shared" si="1"/>
        <v>18.68</v>
      </c>
      <c r="I20" s="16">
        <f t="shared" si="2"/>
        <v>5.0999999999999997E-2</v>
      </c>
      <c r="J20" s="16">
        <f>ROUND(G20/128210-1,2)</f>
        <v>0</v>
      </c>
    </row>
    <row r="21" spans="1:10" x14ac:dyDescent="0.25">
      <c r="A21" s="1" t="s">
        <v>16</v>
      </c>
      <c r="B21" s="1" t="s">
        <v>24</v>
      </c>
      <c r="C21" s="11">
        <v>304710</v>
      </c>
      <c r="D21" s="11"/>
      <c r="E21" s="11">
        <v>39240</v>
      </c>
      <c r="F21" s="11">
        <v>1290</v>
      </c>
      <c r="G21" s="11">
        <f t="shared" si="0"/>
        <v>345240</v>
      </c>
      <c r="H21" s="17">
        <f t="shared" si="1"/>
        <v>50.19</v>
      </c>
      <c r="I21" s="16">
        <f t="shared" si="2"/>
        <v>0.13700000000000001</v>
      </c>
      <c r="J21" s="16">
        <f>ROUND(G21/335660-1,2)</f>
        <v>0.03</v>
      </c>
    </row>
    <row r="22" spans="1:10" x14ac:dyDescent="0.25">
      <c r="A22" s="1" t="s">
        <v>16</v>
      </c>
      <c r="B22" s="1" t="s">
        <v>25</v>
      </c>
      <c r="C22" s="11"/>
      <c r="D22" s="11"/>
      <c r="E22" s="11">
        <v>12110</v>
      </c>
      <c r="F22" s="11"/>
      <c r="G22" s="11">
        <f t="shared" si="0"/>
        <v>12110</v>
      </c>
      <c r="H22" s="17">
        <f t="shared" si="1"/>
        <v>1.76</v>
      </c>
      <c r="I22" s="16">
        <f t="shared" si="2"/>
        <v>5.0000000000000001E-3</v>
      </c>
      <c r="J22" s="16">
        <f>ROUND(G22/12245-1,2)</f>
        <v>-0.01</v>
      </c>
    </row>
    <row r="23" spans="1:10" x14ac:dyDescent="0.25">
      <c r="A23" s="1" t="s">
        <v>16</v>
      </c>
      <c r="B23" s="1" t="s">
        <v>26</v>
      </c>
      <c r="C23" s="11">
        <v>495370</v>
      </c>
      <c r="D23" s="11"/>
      <c r="E23" s="11"/>
      <c r="F23" s="11">
        <v>940</v>
      </c>
      <c r="G23" s="11">
        <f t="shared" si="0"/>
        <v>496310</v>
      </c>
      <c r="H23" s="17">
        <f t="shared" si="1"/>
        <v>72.16</v>
      </c>
      <c r="I23" s="16">
        <f t="shared" si="2"/>
        <v>0.19700000000000001</v>
      </c>
      <c r="J23" s="16">
        <f>ROUND(G23/495180-1,2)</f>
        <v>0</v>
      </c>
    </row>
    <row r="24" spans="1:10" x14ac:dyDescent="0.25">
      <c r="A24" s="1" t="s">
        <v>16</v>
      </c>
      <c r="B24" s="1" t="s">
        <v>27</v>
      </c>
      <c r="C24" s="11"/>
      <c r="D24" s="11"/>
      <c r="E24" s="11">
        <v>1651</v>
      </c>
      <c r="F24" s="11"/>
      <c r="G24" s="11">
        <f t="shared" si="0"/>
        <v>1651</v>
      </c>
      <c r="H24" s="17">
        <f t="shared" si="1"/>
        <v>0.24</v>
      </c>
      <c r="I24" s="16">
        <f t="shared" si="2"/>
        <v>1E-3</v>
      </c>
      <c r="J24" s="16">
        <f>ROUND(G24/2352-1,2)</f>
        <v>-0.3</v>
      </c>
    </row>
    <row r="25" spans="1:10" x14ac:dyDescent="0.25">
      <c r="A25" s="1" t="s">
        <v>16</v>
      </c>
      <c r="B25" s="1" t="s">
        <v>28</v>
      </c>
      <c r="C25" s="11"/>
      <c r="D25" s="11"/>
      <c r="E25" s="11">
        <v>1082</v>
      </c>
      <c r="F25" s="11"/>
      <c r="G25" s="11">
        <f t="shared" si="0"/>
        <v>1082</v>
      </c>
      <c r="H25" s="17">
        <f t="shared" si="1"/>
        <v>0.16</v>
      </c>
      <c r="I25" s="16">
        <f t="shared" si="2"/>
        <v>0</v>
      </c>
      <c r="J25" s="16">
        <f>ROUND(G25/1316-1,2)</f>
        <v>-0.18</v>
      </c>
    </row>
    <row r="26" spans="1:10" x14ac:dyDescent="0.25">
      <c r="A26" s="1" t="s">
        <v>16</v>
      </c>
      <c r="B26" s="1" t="s">
        <v>29</v>
      </c>
      <c r="C26" s="11"/>
      <c r="D26" s="11"/>
      <c r="E26" s="11">
        <v>159</v>
      </c>
      <c r="F26" s="11"/>
      <c r="G26" s="11">
        <f t="shared" si="0"/>
        <v>159</v>
      </c>
      <c r="H26" s="17">
        <f t="shared" si="1"/>
        <v>0.02</v>
      </c>
      <c r="I26" s="16">
        <f t="shared" si="2"/>
        <v>0</v>
      </c>
      <c r="J26" s="16">
        <f>ROUND(G26/298-1,2)</f>
        <v>-0.47</v>
      </c>
    </row>
    <row r="27" spans="1:10" x14ac:dyDescent="0.25">
      <c r="A27" s="1" t="s">
        <v>16</v>
      </c>
      <c r="B27" s="1" t="s">
        <v>30</v>
      </c>
      <c r="C27" s="11"/>
      <c r="D27" s="11"/>
      <c r="E27" s="11">
        <v>7930</v>
      </c>
      <c r="F27" s="11"/>
      <c r="G27" s="11">
        <f t="shared" si="0"/>
        <v>7930</v>
      </c>
      <c r="H27" s="17">
        <f t="shared" si="1"/>
        <v>1.1499999999999999</v>
      </c>
      <c r="I27" s="16">
        <f t="shared" si="2"/>
        <v>3.0000000000000001E-3</v>
      </c>
      <c r="J27" s="16">
        <f>ROUND(G27/8520-1,2)</f>
        <v>-7.0000000000000007E-2</v>
      </c>
    </row>
    <row r="28" spans="1:10" x14ac:dyDescent="0.25">
      <c r="A28" s="1" t="s">
        <v>16</v>
      </c>
      <c r="B28" s="1" t="s">
        <v>31</v>
      </c>
      <c r="C28" s="11"/>
      <c r="D28" s="11"/>
      <c r="E28" s="11">
        <v>1720</v>
      </c>
      <c r="F28" s="11"/>
      <c r="G28" s="11">
        <f t="shared" si="0"/>
        <v>1720</v>
      </c>
      <c r="H28" s="17">
        <f t="shared" si="1"/>
        <v>0.25</v>
      </c>
      <c r="I28" s="16">
        <f t="shared" si="2"/>
        <v>1E-3</v>
      </c>
      <c r="J28" s="16">
        <f>ROUND(G28/1920-1,2)</f>
        <v>-0.1</v>
      </c>
    </row>
    <row r="29" spans="1:10" x14ac:dyDescent="0.25">
      <c r="A29" s="1" t="s">
        <v>16</v>
      </c>
      <c r="B29" s="1" t="s">
        <v>32</v>
      </c>
      <c r="C29" s="11"/>
      <c r="D29" s="11"/>
      <c r="E29" s="11">
        <v>100</v>
      </c>
      <c r="F29" s="11"/>
      <c r="G29" s="11">
        <f t="shared" si="0"/>
        <v>100</v>
      </c>
      <c r="H29" s="17">
        <f t="shared" si="1"/>
        <v>0.01</v>
      </c>
      <c r="I29" s="16">
        <f t="shared" si="2"/>
        <v>0</v>
      </c>
      <c r="J29" s="16"/>
    </row>
    <row r="30" spans="1:10" x14ac:dyDescent="0.25">
      <c r="A30" s="1" t="s">
        <v>16</v>
      </c>
      <c r="B30" s="1" t="s">
        <v>33</v>
      </c>
      <c r="C30" s="11"/>
      <c r="D30" s="11"/>
      <c r="E30" s="11">
        <v>3685</v>
      </c>
      <c r="F30" s="11"/>
      <c r="G30" s="11">
        <f t="shared" si="0"/>
        <v>3685</v>
      </c>
      <c r="H30" s="17">
        <f t="shared" si="1"/>
        <v>0.54</v>
      </c>
      <c r="I30" s="16">
        <f t="shared" si="2"/>
        <v>1E-3</v>
      </c>
      <c r="J30" s="16">
        <f>ROUND(G30/4773-1,2)</f>
        <v>-0.23</v>
      </c>
    </row>
    <row r="31" spans="1:10" x14ac:dyDescent="0.25">
      <c r="A31" s="1" t="s">
        <v>16</v>
      </c>
      <c r="B31" s="1" t="s">
        <v>34</v>
      </c>
      <c r="C31" s="11"/>
      <c r="D31" s="11">
        <v>160</v>
      </c>
      <c r="E31" s="11">
        <v>712</v>
      </c>
      <c r="F31" s="11"/>
      <c r="G31" s="11">
        <f t="shared" si="0"/>
        <v>872</v>
      </c>
      <c r="H31" s="17">
        <f t="shared" si="1"/>
        <v>0.13</v>
      </c>
      <c r="I31" s="16">
        <f t="shared" si="2"/>
        <v>0</v>
      </c>
      <c r="J31" s="16">
        <f>ROUND(G31/815-1,2)</f>
        <v>7.0000000000000007E-2</v>
      </c>
    </row>
    <row r="32" spans="1:10" x14ac:dyDescent="0.25">
      <c r="A32" s="1" t="s">
        <v>16</v>
      </c>
      <c r="B32" s="1" t="s">
        <v>35</v>
      </c>
      <c r="C32" s="11"/>
      <c r="D32" s="11"/>
      <c r="E32" s="11">
        <v>812</v>
      </c>
      <c r="F32" s="11"/>
      <c r="G32" s="11">
        <f t="shared" si="0"/>
        <v>812</v>
      </c>
      <c r="H32" s="17">
        <f t="shared" si="1"/>
        <v>0.12</v>
      </c>
      <c r="I32" s="16">
        <f t="shared" si="2"/>
        <v>0</v>
      </c>
      <c r="J32" s="16"/>
    </row>
    <row r="33" spans="1:10" x14ac:dyDescent="0.25">
      <c r="A33" s="1" t="s">
        <v>16</v>
      </c>
      <c r="B33" s="1" t="s">
        <v>37</v>
      </c>
      <c r="C33" s="11"/>
      <c r="D33" s="11"/>
      <c r="E33" s="11">
        <v>4370</v>
      </c>
      <c r="F33" s="11"/>
      <c r="G33" s="11">
        <f t="shared" si="0"/>
        <v>4370</v>
      </c>
      <c r="H33" s="17">
        <f t="shared" si="1"/>
        <v>0.64</v>
      </c>
      <c r="I33" s="16">
        <f t="shared" si="2"/>
        <v>2E-3</v>
      </c>
      <c r="J33" s="16">
        <f>ROUND(G33/3550-1,2)</f>
        <v>0.23</v>
      </c>
    </row>
    <row r="34" spans="1:10" x14ac:dyDescent="0.25">
      <c r="A34" s="1" t="s">
        <v>16</v>
      </c>
      <c r="B34" s="1" t="s">
        <v>38</v>
      </c>
      <c r="C34" s="11"/>
      <c r="D34" s="11"/>
      <c r="E34" s="11">
        <v>7100</v>
      </c>
      <c r="F34" s="11"/>
      <c r="G34" s="11">
        <f t="shared" si="0"/>
        <v>7100</v>
      </c>
      <c r="H34" s="17">
        <f t="shared" si="1"/>
        <v>1.03</v>
      </c>
      <c r="I34" s="16">
        <f t="shared" si="2"/>
        <v>3.0000000000000001E-3</v>
      </c>
      <c r="J34" s="16">
        <f>ROUND(G34/12570-1,2)</f>
        <v>-0.44</v>
      </c>
    </row>
    <row r="35" spans="1:10" x14ac:dyDescent="0.25">
      <c r="A35" s="1" t="s">
        <v>16</v>
      </c>
      <c r="B35" s="1" t="s">
        <v>39</v>
      </c>
      <c r="C35" s="11"/>
      <c r="D35" s="11"/>
      <c r="E35" s="11">
        <v>22178</v>
      </c>
      <c r="F35" s="11"/>
      <c r="G35" s="11">
        <f t="shared" si="0"/>
        <v>22178</v>
      </c>
      <c r="H35" s="17">
        <f t="shared" si="1"/>
        <v>3.22</v>
      </c>
      <c r="I35" s="16">
        <f t="shared" si="2"/>
        <v>8.9999999999999993E-3</v>
      </c>
      <c r="J35" s="16">
        <f>ROUND(G35/18775-1,2)</f>
        <v>0.18</v>
      </c>
    </row>
    <row r="36" spans="1:10" x14ac:dyDescent="0.25">
      <c r="A36" s="1" t="s">
        <v>16</v>
      </c>
      <c r="B36" s="1" t="s">
        <v>40</v>
      </c>
      <c r="C36" s="11"/>
      <c r="D36" s="11"/>
      <c r="E36" s="11">
        <v>177720</v>
      </c>
      <c r="F36" s="11"/>
      <c r="G36" s="11">
        <f t="shared" si="0"/>
        <v>177720</v>
      </c>
      <c r="H36" s="17">
        <f t="shared" si="1"/>
        <v>25.84</v>
      </c>
      <c r="I36" s="16">
        <f t="shared" si="2"/>
        <v>7.0000000000000007E-2</v>
      </c>
      <c r="J36" s="16">
        <f>ROUND(G36/148020-1,2)</f>
        <v>0.2</v>
      </c>
    </row>
    <row r="37" spans="1:10" x14ac:dyDescent="0.25">
      <c r="A37" s="1" t="s">
        <v>16</v>
      </c>
      <c r="B37" s="1" t="s">
        <v>41</v>
      </c>
      <c r="C37" s="11"/>
      <c r="D37" s="11"/>
      <c r="E37" s="11">
        <v>9315</v>
      </c>
      <c r="F37" s="11"/>
      <c r="G37" s="11">
        <f t="shared" si="0"/>
        <v>9315</v>
      </c>
      <c r="H37" s="17">
        <f t="shared" si="1"/>
        <v>1.35</v>
      </c>
      <c r="I37" s="16">
        <f t="shared" si="2"/>
        <v>4.0000000000000001E-3</v>
      </c>
      <c r="J37" s="16">
        <f>ROUND(G37/11140-1,2)</f>
        <v>-0.16</v>
      </c>
    </row>
    <row r="38" spans="1:10" x14ac:dyDescent="0.25">
      <c r="A38" s="1" t="s">
        <v>16</v>
      </c>
      <c r="B38" s="1" t="s">
        <v>42</v>
      </c>
      <c r="C38" s="11"/>
      <c r="D38" s="11"/>
      <c r="E38" s="11">
        <v>45880</v>
      </c>
      <c r="F38" s="11"/>
      <c r="G38" s="11">
        <f t="shared" si="0"/>
        <v>45880</v>
      </c>
      <c r="H38" s="17">
        <f t="shared" si="1"/>
        <v>6.67</v>
      </c>
      <c r="I38" s="16">
        <f t="shared" si="2"/>
        <v>1.7999999999999999E-2</v>
      </c>
      <c r="J38" s="16">
        <f>ROUND(G38/40960-1,2)</f>
        <v>0.12</v>
      </c>
    </row>
    <row r="39" spans="1:10" x14ac:dyDescent="0.25">
      <c r="A39" s="1" t="s">
        <v>16</v>
      </c>
      <c r="B39" s="1" t="s">
        <v>44</v>
      </c>
      <c r="C39" s="11"/>
      <c r="D39" s="11"/>
      <c r="E39" s="11">
        <v>244270</v>
      </c>
      <c r="F39" s="11">
        <v>20530</v>
      </c>
      <c r="G39" s="11">
        <f t="shared" si="0"/>
        <v>264800</v>
      </c>
      <c r="H39" s="17">
        <f t="shared" si="1"/>
        <v>38.5</v>
      </c>
      <c r="I39" s="16">
        <f t="shared" si="2"/>
        <v>0.105</v>
      </c>
      <c r="J39" s="16">
        <f>ROUND(G39/241560-1,2)</f>
        <v>0.1</v>
      </c>
    </row>
    <row r="40" spans="1:10" x14ac:dyDescent="0.25">
      <c r="A40" s="1" t="s">
        <v>16</v>
      </c>
      <c r="B40" s="1" t="s">
        <v>244</v>
      </c>
      <c r="C40" s="11"/>
      <c r="D40" s="11"/>
      <c r="E40" s="11"/>
      <c r="F40" s="11"/>
      <c r="G40" s="11">
        <f t="shared" si="0"/>
        <v>0</v>
      </c>
      <c r="H40" s="17">
        <f t="shared" si="1"/>
        <v>0</v>
      </c>
      <c r="I40" s="16">
        <f t="shared" si="2"/>
        <v>0</v>
      </c>
      <c r="J40" s="16"/>
    </row>
    <row r="41" spans="1:10" x14ac:dyDescent="0.25">
      <c r="A41" s="1" t="s">
        <v>16</v>
      </c>
      <c r="B41" s="1" t="s">
        <v>36</v>
      </c>
      <c r="C41" s="11"/>
      <c r="D41" s="11"/>
      <c r="E41" s="11"/>
      <c r="F41" s="11"/>
      <c r="G41" s="11">
        <f t="shared" si="0"/>
        <v>0</v>
      </c>
      <c r="H41" s="17">
        <f t="shared" si="1"/>
        <v>0</v>
      </c>
      <c r="I41" s="16">
        <f t="shared" si="2"/>
        <v>0</v>
      </c>
      <c r="J41" s="16">
        <f>ROUND(G41/626-1,2)</f>
        <v>-1</v>
      </c>
    </row>
    <row r="42" spans="1:10" x14ac:dyDescent="0.25">
      <c r="A42" s="1" t="s">
        <v>16</v>
      </c>
      <c r="B42" s="1" t="s">
        <v>128</v>
      </c>
      <c r="C42" s="11"/>
      <c r="D42" s="11"/>
      <c r="E42" s="11"/>
      <c r="F42" s="11"/>
      <c r="G42" s="11">
        <f t="shared" si="0"/>
        <v>0</v>
      </c>
      <c r="H42" s="17">
        <f t="shared" si="1"/>
        <v>0</v>
      </c>
      <c r="I42" s="16">
        <f t="shared" si="2"/>
        <v>0</v>
      </c>
      <c r="J42" s="16"/>
    </row>
    <row r="43" spans="1:10" x14ac:dyDescent="0.25">
      <c r="A43" s="1" t="s">
        <v>16</v>
      </c>
      <c r="B43" s="1" t="s">
        <v>130</v>
      </c>
      <c r="C43" s="11"/>
      <c r="D43" s="11"/>
      <c r="E43" s="11"/>
      <c r="F43" s="11"/>
      <c r="G43" s="11">
        <f t="shared" si="0"/>
        <v>0</v>
      </c>
      <c r="H43" s="17">
        <f t="shared" si="1"/>
        <v>0</v>
      </c>
      <c r="I43" s="16">
        <f t="shared" si="2"/>
        <v>0</v>
      </c>
      <c r="J43" s="16"/>
    </row>
    <row r="44" spans="1:10" x14ac:dyDescent="0.25">
      <c r="A44" s="1" t="s">
        <v>16</v>
      </c>
      <c r="B44" s="1" t="s">
        <v>254</v>
      </c>
      <c r="C44" s="11"/>
      <c r="D44" s="11"/>
      <c r="E44" s="11"/>
      <c r="F44" s="11"/>
      <c r="G44" s="11">
        <f t="shared" si="0"/>
        <v>0</v>
      </c>
      <c r="H44" s="17">
        <f t="shared" si="1"/>
        <v>0</v>
      </c>
      <c r="I44" s="16">
        <f t="shared" si="2"/>
        <v>0</v>
      </c>
      <c r="J44" s="16"/>
    </row>
    <row r="45" spans="1:10" x14ac:dyDescent="0.25">
      <c r="A45" s="1" t="s">
        <v>45</v>
      </c>
      <c r="B45" s="1" t="s">
        <v>46</v>
      </c>
      <c r="C45" s="11">
        <v>354480</v>
      </c>
      <c r="D45" s="11"/>
      <c r="E45" s="11"/>
      <c r="F45" s="11">
        <v>730</v>
      </c>
      <c r="G45" s="11">
        <f t="shared" si="0"/>
        <v>355210</v>
      </c>
      <c r="H45" s="17">
        <f t="shared" si="1"/>
        <v>51.64</v>
      </c>
      <c r="I45" s="16">
        <f t="shared" si="2"/>
        <v>0.14099999999999999</v>
      </c>
      <c r="J45" s="16">
        <f>ROUND(G45/359170-1,2)</f>
        <v>-0.01</v>
      </c>
    </row>
    <row r="46" spans="1:10" x14ac:dyDescent="0.25">
      <c r="A46" s="1" t="s">
        <v>45</v>
      </c>
      <c r="B46" s="1" t="s">
        <v>48</v>
      </c>
      <c r="C46" s="11"/>
      <c r="D46" s="11"/>
      <c r="E46" s="11"/>
      <c r="F46" s="11">
        <v>36740</v>
      </c>
      <c r="G46" s="11">
        <f t="shared" si="0"/>
        <v>36740</v>
      </c>
      <c r="H46" s="17">
        <f t="shared" si="1"/>
        <v>5.34</v>
      </c>
      <c r="I46" s="16">
        <f t="shared" si="2"/>
        <v>1.4999999999999999E-2</v>
      </c>
      <c r="J46" s="16">
        <f>ROUND(G46/38910-1,2)</f>
        <v>-0.06</v>
      </c>
    </row>
    <row r="47" spans="1:10" x14ac:dyDescent="0.25">
      <c r="A47" s="1" t="s">
        <v>45</v>
      </c>
      <c r="B47" s="1" t="s">
        <v>47</v>
      </c>
      <c r="C47" s="11"/>
      <c r="D47" s="11"/>
      <c r="E47" s="11">
        <v>107050</v>
      </c>
      <c r="F47" s="11"/>
      <c r="G47" s="11">
        <f t="shared" si="0"/>
        <v>107050</v>
      </c>
      <c r="H47" s="17">
        <f t="shared" si="1"/>
        <v>15.56</v>
      </c>
      <c r="I47" s="16">
        <f t="shared" si="2"/>
        <v>4.2000000000000003E-2</v>
      </c>
      <c r="J47" s="16">
        <f>ROUND(G47/103800-1,2)</f>
        <v>0.03</v>
      </c>
    </row>
    <row r="48" spans="1:10" x14ac:dyDescent="0.25">
      <c r="A48" s="26" t="s">
        <v>12</v>
      </c>
      <c r="B48" s="26"/>
      <c r="C48" s="12">
        <f t="shared" ref="C48:H48" si="3">SUM(C8:C47)</f>
        <v>1639140</v>
      </c>
      <c r="D48" s="12">
        <f t="shared" si="3"/>
        <v>160</v>
      </c>
      <c r="E48" s="12">
        <f t="shared" si="3"/>
        <v>822513</v>
      </c>
      <c r="F48" s="12">
        <f t="shared" si="3"/>
        <v>63170</v>
      </c>
      <c r="G48" s="12">
        <f t="shared" si="3"/>
        <v>2524983</v>
      </c>
      <c r="H48" s="15">
        <f t="shared" si="3"/>
        <v>367.09</v>
      </c>
      <c r="I48" s="18"/>
      <c r="J48" s="18"/>
    </row>
    <row r="49" spans="1:10" x14ac:dyDescent="0.25">
      <c r="A49" s="26" t="s">
        <v>14</v>
      </c>
      <c r="B49" s="26"/>
      <c r="C49" s="13">
        <f>ROUND(C48/G48,2)</f>
        <v>0.65</v>
      </c>
      <c r="D49" s="13">
        <f>ROUND(D48/G48,2)</f>
        <v>0</v>
      </c>
      <c r="E49" s="13">
        <f>ROUND(E48/G48,2)</f>
        <v>0.33</v>
      </c>
      <c r="F49" s="13">
        <f>ROUND(F48/G48,2)</f>
        <v>0.03</v>
      </c>
      <c r="G49" s="14"/>
      <c r="H49" s="14"/>
      <c r="I49" s="18"/>
      <c r="J49" s="18"/>
    </row>
    <row r="50" spans="1:10" x14ac:dyDescent="0.25">
      <c r="A50" s="2" t="s">
        <v>53</v>
      </c>
      <c r="B50" s="2"/>
      <c r="C50" s="14"/>
      <c r="D50" s="14"/>
      <c r="E50" s="14"/>
      <c r="F50" s="14"/>
      <c r="G50" s="14"/>
      <c r="H50" s="14"/>
      <c r="I50" s="18"/>
      <c r="J50" s="18"/>
    </row>
    <row r="51" spans="1:10" x14ac:dyDescent="0.25">
      <c r="C51" s="9"/>
      <c r="D51" s="9"/>
      <c r="E51" s="9"/>
      <c r="F51" s="9"/>
      <c r="G51" s="9"/>
      <c r="H51" s="9"/>
      <c r="I51" s="10"/>
      <c r="J51" s="10"/>
    </row>
    <row r="52" spans="1:10" x14ac:dyDescent="0.25">
      <c r="C52" s="9"/>
      <c r="D52" s="9"/>
      <c r="E52" s="9"/>
      <c r="F52" s="9"/>
      <c r="G52" s="9"/>
      <c r="H52" s="9"/>
      <c r="I52" s="10"/>
      <c r="J52" s="10"/>
    </row>
    <row r="53" spans="1:10" x14ac:dyDescent="0.25">
      <c r="C53" s="9"/>
      <c r="D53" s="9"/>
      <c r="E53" s="9"/>
      <c r="F53" s="9"/>
      <c r="G53" s="9"/>
      <c r="H53" s="9"/>
      <c r="I53" s="10"/>
      <c r="J53" s="10"/>
    </row>
    <row r="54" spans="1:10" x14ac:dyDescent="0.25">
      <c r="A54" s="26" t="s">
        <v>54</v>
      </c>
      <c r="B54" s="26"/>
      <c r="C54" s="12" t="s">
        <v>8</v>
      </c>
      <c r="D54" s="12" t="s">
        <v>9</v>
      </c>
      <c r="E54" s="12" t="s">
        <v>10</v>
      </c>
      <c r="F54" s="12" t="s">
        <v>11</v>
      </c>
      <c r="G54" s="12" t="s">
        <v>12</v>
      </c>
      <c r="H54" s="15" t="s">
        <v>13</v>
      </c>
      <c r="I54" s="18"/>
      <c r="J54" s="18"/>
    </row>
    <row r="55" spans="1:10" x14ac:dyDescent="0.25">
      <c r="A55" s="21" t="s">
        <v>55</v>
      </c>
      <c r="B55" s="21"/>
      <c r="C55" s="11">
        <v>1284660</v>
      </c>
      <c r="D55" s="11">
        <v>160</v>
      </c>
      <c r="E55" s="11">
        <v>715463</v>
      </c>
      <c r="F55" s="11">
        <v>25160</v>
      </c>
      <c r="G55" s="11">
        <f>SUM(C55:F55)</f>
        <v>2025443</v>
      </c>
      <c r="H55" s="17">
        <f>ROUND(G55/6878,2)</f>
        <v>294.48</v>
      </c>
      <c r="I55" s="10"/>
      <c r="J55" s="10"/>
    </row>
    <row r="56" spans="1:10" x14ac:dyDescent="0.25">
      <c r="A56" s="21" t="s">
        <v>56</v>
      </c>
      <c r="B56" s="21"/>
      <c r="C56" s="11">
        <v>354480</v>
      </c>
      <c r="D56" s="11">
        <v>0</v>
      </c>
      <c r="E56" s="11">
        <v>107050</v>
      </c>
      <c r="F56" s="11">
        <v>37470</v>
      </c>
      <c r="G56" s="11">
        <f>SUM(C56:F56)</f>
        <v>499000</v>
      </c>
      <c r="H56" s="17">
        <f>ROUND(G56/6878,2)</f>
        <v>72.55</v>
      </c>
      <c r="I56" s="10"/>
      <c r="J56" s="10"/>
    </row>
    <row r="57" spans="1:10" x14ac:dyDescent="0.25">
      <c r="A57" s="21" t="s">
        <v>57</v>
      </c>
      <c r="B57" s="21"/>
      <c r="C57" s="11">
        <v>0</v>
      </c>
      <c r="D57" s="11">
        <v>0</v>
      </c>
      <c r="E57" s="11">
        <v>0</v>
      </c>
      <c r="F57" s="11">
        <v>540</v>
      </c>
      <c r="G57" s="11">
        <f>SUM(C57:F57)</f>
        <v>540</v>
      </c>
      <c r="H57" s="17">
        <f>ROUND(G57/6878,2)</f>
        <v>0.08</v>
      </c>
      <c r="I57" s="10"/>
      <c r="J57" s="10"/>
    </row>
    <row r="58" spans="1:10" x14ac:dyDescent="0.25">
      <c r="C58" s="9"/>
      <c r="D58" s="9"/>
      <c r="E58" s="9"/>
      <c r="F58" s="9"/>
      <c r="G58" s="9"/>
      <c r="H58" s="9"/>
      <c r="I58" s="10"/>
      <c r="J58" s="10"/>
    </row>
    <row r="59" spans="1:10" x14ac:dyDescent="0.25">
      <c r="C59" s="9"/>
      <c r="D59" s="9"/>
      <c r="E59" s="9"/>
      <c r="F59" s="9"/>
      <c r="G59" s="9"/>
      <c r="H59" s="9"/>
      <c r="I59" s="10"/>
      <c r="J59" s="10"/>
    </row>
    <row r="60" spans="1:10" x14ac:dyDescent="0.25">
      <c r="C60" s="9"/>
      <c r="D60" s="9"/>
      <c r="E60" s="9"/>
      <c r="F60" s="9"/>
      <c r="G60" s="9"/>
      <c r="H60" s="9"/>
      <c r="I60" s="10"/>
      <c r="J60" s="10"/>
    </row>
    <row r="61" spans="1:10" x14ac:dyDescent="0.25">
      <c r="C61" s="9"/>
      <c r="D61" s="9"/>
      <c r="E61" s="9"/>
      <c r="F61" s="9"/>
      <c r="G61" s="9"/>
      <c r="H61" s="9"/>
      <c r="I61" s="10"/>
      <c r="J61" s="10"/>
    </row>
    <row r="62" spans="1:10" x14ac:dyDescent="0.25">
      <c r="A62" s="26" t="s">
        <v>58</v>
      </c>
      <c r="B62" s="26"/>
      <c r="C62" s="15" t="s">
        <v>2</v>
      </c>
      <c r="D62" s="15">
        <v>2024</v>
      </c>
      <c r="E62" s="15" t="s">
        <v>60</v>
      </c>
      <c r="F62" s="14"/>
      <c r="G62" s="15" t="s">
        <v>61</v>
      </c>
      <c r="H62" s="15" t="s">
        <v>2</v>
      </c>
      <c r="I62" s="13" t="s">
        <v>62</v>
      </c>
      <c r="J62" s="13" t="s">
        <v>60</v>
      </c>
    </row>
    <row r="63" spans="1:10" x14ac:dyDescent="0.25">
      <c r="A63" s="21" t="s">
        <v>59</v>
      </c>
      <c r="B63" s="21"/>
      <c r="C63" s="16">
        <f>ROUND(0.8516, 4)</f>
        <v>0.85160000000000002</v>
      </c>
      <c r="D63" s="16">
        <f>ROUND(0.8386, 4)</f>
        <v>0.83860000000000001</v>
      </c>
      <c r="E63" s="16">
        <f>ROUND(0.7856, 4)</f>
        <v>0.78559999999999997</v>
      </c>
      <c r="F63" s="9"/>
      <c r="G63" s="15" t="s">
        <v>63</v>
      </c>
      <c r="H63" s="27" t="s">
        <v>64</v>
      </c>
      <c r="I63" s="24" t="s">
        <v>65</v>
      </c>
      <c r="J63" s="24" t="s">
        <v>66</v>
      </c>
    </row>
    <row r="64" spans="1:10" x14ac:dyDescent="0.25">
      <c r="A64" s="21" t="s">
        <v>67</v>
      </c>
      <c r="B64" s="21"/>
      <c r="C64" s="16">
        <f>ROUND(0.8516, 4)</f>
        <v>0.85160000000000002</v>
      </c>
      <c r="D64" s="16">
        <f>ROUND(0.8261, 4)</f>
        <v>0.82609999999999995</v>
      </c>
      <c r="E64" s="16">
        <f>ROUND(0.7702, 4)</f>
        <v>0.7702</v>
      </c>
      <c r="F64" s="9"/>
      <c r="G64" s="15" t="s">
        <v>68</v>
      </c>
      <c r="H64" s="28"/>
      <c r="I64" s="25"/>
      <c r="J64" s="25"/>
    </row>
    <row r="65" spans="1:10" x14ac:dyDescent="0.25">
      <c r="C65" s="9"/>
      <c r="D65" s="9"/>
      <c r="E65" s="9"/>
      <c r="F65" s="9"/>
      <c r="G65" s="9"/>
      <c r="H65" s="9"/>
      <c r="I65" s="10"/>
      <c r="J65" s="10"/>
    </row>
    <row r="66" spans="1:10" x14ac:dyDescent="0.25">
      <c r="C66" s="9"/>
      <c r="D66" s="9"/>
      <c r="E66" s="9"/>
      <c r="F66" s="9"/>
      <c r="G66" s="9"/>
      <c r="H66" s="9"/>
      <c r="I66" s="10"/>
      <c r="J66" s="10"/>
    </row>
    <row r="67" spans="1:10" x14ac:dyDescent="0.25">
      <c r="C67" s="9"/>
      <c r="D67" s="9"/>
      <c r="E67" s="9"/>
      <c r="F67" s="9"/>
      <c r="G67" s="9"/>
      <c r="H67" s="9"/>
      <c r="I67" s="10"/>
      <c r="J67" s="10"/>
    </row>
    <row r="68" spans="1:10" x14ac:dyDescent="0.25">
      <c r="A68" s="26" t="s">
        <v>69</v>
      </c>
      <c r="B68" s="26"/>
      <c r="C68" s="15" t="s">
        <v>2</v>
      </c>
      <c r="D68" s="15" t="s">
        <v>255</v>
      </c>
      <c r="E68" s="15" t="s">
        <v>71</v>
      </c>
      <c r="F68" s="15" t="s">
        <v>72</v>
      </c>
      <c r="G68" s="15" t="s">
        <v>73</v>
      </c>
      <c r="H68" s="14"/>
      <c r="I68" s="18"/>
      <c r="J68" s="18"/>
    </row>
    <row r="69" spans="1:10" x14ac:dyDescent="0.25">
      <c r="A69" s="21" t="s">
        <v>74</v>
      </c>
      <c r="B69" s="21"/>
      <c r="C69" s="17">
        <v>51.64</v>
      </c>
      <c r="D69" s="17">
        <v>52.2</v>
      </c>
      <c r="E69" s="17">
        <v>96.15</v>
      </c>
      <c r="F69" s="17">
        <v>57.94</v>
      </c>
      <c r="G69" s="17">
        <f>12/12*C69</f>
        <v>51.64</v>
      </c>
      <c r="H69" s="9"/>
      <c r="I69" s="10"/>
      <c r="J69" s="10"/>
    </row>
    <row r="70" spans="1:10" x14ac:dyDescent="0.25">
      <c r="A70" s="21" t="s">
        <v>75</v>
      </c>
      <c r="B70" s="21"/>
      <c r="C70" s="17">
        <v>72.16</v>
      </c>
      <c r="D70" s="17">
        <v>68.27</v>
      </c>
      <c r="E70" s="17">
        <v>62.28</v>
      </c>
      <c r="F70" s="17">
        <v>66.599999999999994</v>
      </c>
      <c r="G70" s="17">
        <f>12/12*C70</f>
        <v>72.16</v>
      </c>
      <c r="H70" s="9"/>
      <c r="I70" s="10"/>
      <c r="J70" s="10"/>
    </row>
    <row r="71" spans="1:10" x14ac:dyDescent="0.25">
      <c r="A71" s="21" t="s">
        <v>76</v>
      </c>
      <c r="B71" s="21"/>
      <c r="C71" s="17">
        <v>294.48</v>
      </c>
      <c r="D71" s="17">
        <v>269.93</v>
      </c>
      <c r="E71" s="17">
        <v>300.02</v>
      </c>
      <c r="F71" s="17">
        <v>295.08</v>
      </c>
      <c r="G71" s="17">
        <f>12/12*C71</f>
        <v>294.48</v>
      </c>
      <c r="H71" s="9"/>
      <c r="I71" s="10"/>
      <c r="J71" s="10"/>
    </row>
    <row r="72" spans="1:10" x14ac:dyDescent="0.25">
      <c r="A72" s="21" t="s">
        <v>77</v>
      </c>
      <c r="B72" s="21"/>
      <c r="C72" s="17">
        <v>72.55</v>
      </c>
      <c r="D72" s="17">
        <v>68.819999999999993</v>
      </c>
      <c r="E72" s="17">
        <v>120.96</v>
      </c>
      <c r="F72" s="17">
        <v>83.12</v>
      </c>
      <c r="G72" s="17">
        <f>12/12*C72</f>
        <v>72.55</v>
      </c>
      <c r="H72" s="9"/>
      <c r="I72" s="10"/>
      <c r="J72" s="10"/>
    </row>
    <row r="73" spans="1:10" x14ac:dyDescent="0.25">
      <c r="C73" s="9"/>
      <c r="D73" s="9"/>
      <c r="E73" s="9"/>
      <c r="F73" s="9"/>
      <c r="G73" s="9"/>
      <c r="H73" s="9"/>
      <c r="I73" s="10"/>
      <c r="J73" s="10"/>
    </row>
    <row r="74" spans="1:10" x14ac:dyDescent="0.25">
      <c r="C74" s="9"/>
      <c r="D74" s="9"/>
      <c r="E74" s="9"/>
      <c r="F74" s="9"/>
      <c r="G74" s="9"/>
      <c r="H74" s="9"/>
      <c r="I74" s="10"/>
      <c r="J74" s="10"/>
    </row>
    <row r="75" spans="1:10" x14ac:dyDescent="0.25">
      <c r="A75" s="22" t="s">
        <v>61</v>
      </c>
      <c r="B75" s="23"/>
      <c r="C75" s="9"/>
      <c r="D75" s="9"/>
      <c r="E75" s="9"/>
      <c r="F75" s="9"/>
      <c r="G75" s="9"/>
      <c r="H75" s="9"/>
      <c r="I75" s="10"/>
      <c r="J75" s="10"/>
    </row>
    <row r="76" spans="1:10" x14ac:dyDescent="0.25">
      <c r="A76" s="3" t="s">
        <v>78</v>
      </c>
      <c r="B76" s="1" t="s">
        <v>256</v>
      </c>
      <c r="C76" s="9"/>
      <c r="D76" s="9"/>
      <c r="E76" s="9"/>
      <c r="F76" s="9"/>
      <c r="G76" s="9"/>
      <c r="H76" s="9"/>
      <c r="I76" s="10"/>
      <c r="J76" s="10"/>
    </row>
    <row r="77" spans="1:10" x14ac:dyDescent="0.25">
      <c r="A77" s="3" t="s">
        <v>71</v>
      </c>
      <c r="B77" s="1" t="s">
        <v>80</v>
      </c>
      <c r="C77" s="9"/>
      <c r="D77" s="9"/>
      <c r="E77" s="9"/>
      <c r="F77" s="9"/>
      <c r="G77" s="9"/>
      <c r="H77" s="9"/>
      <c r="I77" s="10"/>
      <c r="J77" s="10"/>
    </row>
    <row r="78" spans="1:10" x14ac:dyDescent="0.25">
      <c r="A78" s="3" t="s">
        <v>72</v>
      </c>
      <c r="B78" s="1" t="s">
        <v>81</v>
      </c>
      <c r="C78" s="9"/>
      <c r="D78" s="9"/>
      <c r="E78" s="9"/>
      <c r="F78" s="9"/>
      <c r="G78" s="9"/>
      <c r="H78" s="9"/>
      <c r="I78" s="10"/>
      <c r="J78" s="10"/>
    </row>
    <row r="79" spans="1:10" x14ac:dyDescent="0.25">
      <c r="A79" s="3" t="s">
        <v>73</v>
      </c>
      <c r="B79" s="1" t="s">
        <v>82</v>
      </c>
      <c r="C79" s="9"/>
      <c r="D79" s="9"/>
      <c r="E79" s="9"/>
      <c r="F79" s="9"/>
      <c r="G79" s="9"/>
      <c r="H79" s="9"/>
      <c r="I79" s="10"/>
      <c r="J79" s="10"/>
    </row>
  </sheetData>
  <mergeCells count="19">
    <mergeCell ref="C7:G7"/>
    <mergeCell ref="A48:B48"/>
    <mergeCell ref="A49:B49"/>
    <mergeCell ref="A54:B54"/>
    <mergeCell ref="A55:B55"/>
    <mergeCell ref="J63:J64"/>
    <mergeCell ref="A64:B64"/>
    <mergeCell ref="A68:B68"/>
    <mergeCell ref="A69:B69"/>
    <mergeCell ref="A56:B56"/>
    <mergeCell ref="A57:B57"/>
    <mergeCell ref="A62:B62"/>
    <mergeCell ref="A63:B63"/>
    <mergeCell ref="H63:H64"/>
    <mergeCell ref="A70:B70"/>
    <mergeCell ref="A71:B71"/>
    <mergeCell ref="A72:B72"/>
    <mergeCell ref="A75:B75"/>
    <mergeCell ref="I63:I64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J79"/>
  <sheetViews>
    <sheetView workbookViewId="0">
      <selection activeCell="H5" sqref="H5"/>
    </sheetView>
  </sheetViews>
  <sheetFormatPr defaultRowHeight="15" x14ac:dyDescent="0.25"/>
  <cols>
    <col min="1" max="1" width="28.42578125" bestFit="1" customWidth="1"/>
    <col min="2" max="2" width="59.5703125" bestFit="1" customWidth="1"/>
    <col min="3" max="3" width="12.7109375" bestFit="1" customWidth="1"/>
    <col min="4" max="4" width="26.7109375" bestFit="1" customWidth="1"/>
    <col min="5" max="5" width="13.85546875" bestFit="1" customWidth="1"/>
    <col min="6" max="6" width="8.5703125" bestFit="1" customWidth="1"/>
    <col min="7" max="7" width="47.7109375" bestFit="1" customWidth="1"/>
    <col min="8" max="9" width="16.7109375" bestFit="1" customWidth="1"/>
    <col min="10" max="10" width="24.42578125" bestFit="1" customWidth="1"/>
  </cols>
  <sheetData>
    <row r="2" spans="1:10" ht="18.75" x14ac:dyDescent="0.3">
      <c r="A2" s="3" t="s">
        <v>0</v>
      </c>
      <c r="B2" s="4" t="s">
        <v>257</v>
      </c>
    </row>
    <row r="3" spans="1:10" x14ac:dyDescent="0.25">
      <c r="A3" s="3" t="s">
        <v>2</v>
      </c>
      <c r="B3" s="1" t="s">
        <v>3</v>
      </c>
    </row>
    <row r="4" spans="1:10" x14ac:dyDescent="0.25">
      <c r="A4" s="3" t="s">
        <v>4</v>
      </c>
      <c r="B4" s="20">
        <v>3536</v>
      </c>
    </row>
    <row r="7" spans="1:10" x14ac:dyDescent="0.25">
      <c r="C7" s="22" t="s">
        <v>5</v>
      </c>
      <c r="D7" s="21"/>
      <c r="E7" s="21"/>
      <c r="F7" s="21"/>
      <c r="G7" s="21"/>
    </row>
    <row r="8" spans="1:10" x14ac:dyDescent="0.25">
      <c r="A8" s="3" t="s">
        <v>6</v>
      </c>
      <c r="B8" s="3" t="s">
        <v>7</v>
      </c>
      <c r="C8" s="15" t="s">
        <v>8</v>
      </c>
      <c r="D8" s="15" t="s">
        <v>9</v>
      </c>
      <c r="E8" s="15" t="s">
        <v>10</v>
      </c>
      <c r="F8" s="15" t="s">
        <v>11</v>
      </c>
      <c r="G8" s="15" t="s">
        <v>12</v>
      </c>
      <c r="H8" s="15" t="s">
        <v>13</v>
      </c>
      <c r="I8" s="15" t="s">
        <v>14</v>
      </c>
      <c r="J8" s="15" t="s">
        <v>15</v>
      </c>
    </row>
    <row r="9" spans="1:10" x14ac:dyDescent="0.25">
      <c r="A9" s="1" t="s">
        <v>16</v>
      </c>
      <c r="B9" s="1" t="s">
        <v>17</v>
      </c>
      <c r="C9" s="11"/>
      <c r="D9" s="11"/>
      <c r="E9" s="11">
        <v>194</v>
      </c>
      <c r="F9" s="11"/>
      <c r="G9" s="11">
        <f t="shared" ref="G9:G47" si="0">SUM(C9:F9)</f>
        <v>194</v>
      </c>
      <c r="H9" s="17">
        <f t="shared" ref="H9:H47" si="1">ROUND(G9/3536,2)</f>
        <v>0.05</v>
      </c>
      <c r="I9" s="16">
        <f t="shared" ref="I9:I47" si="2">ROUND(G9/$G$48,3)</f>
        <v>0</v>
      </c>
      <c r="J9" s="16">
        <f>ROUND(G9/79-1,2)</f>
        <v>1.46</v>
      </c>
    </row>
    <row r="10" spans="1:10" x14ac:dyDescent="0.25">
      <c r="A10" s="1" t="s">
        <v>16</v>
      </c>
      <c r="B10" s="1" t="s">
        <v>19</v>
      </c>
      <c r="C10" s="11">
        <v>135040</v>
      </c>
      <c r="D10" s="11"/>
      <c r="E10" s="11">
        <v>900</v>
      </c>
      <c r="F10" s="11"/>
      <c r="G10" s="11">
        <f t="shared" si="0"/>
        <v>135940</v>
      </c>
      <c r="H10" s="17">
        <f t="shared" si="1"/>
        <v>38.44</v>
      </c>
      <c r="I10" s="16">
        <f t="shared" si="2"/>
        <v>8.8999999999999996E-2</v>
      </c>
      <c r="J10" s="16">
        <f>ROUND(G10/124920-1,2)</f>
        <v>0.09</v>
      </c>
    </row>
    <row r="11" spans="1:10" x14ac:dyDescent="0.25">
      <c r="A11" s="1" t="s">
        <v>16</v>
      </c>
      <c r="B11" s="1" t="s">
        <v>20</v>
      </c>
      <c r="C11" s="11">
        <v>165040</v>
      </c>
      <c r="D11" s="11"/>
      <c r="E11" s="11"/>
      <c r="F11" s="11"/>
      <c r="G11" s="11">
        <f t="shared" si="0"/>
        <v>165040</v>
      </c>
      <c r="H11" s="17">
        <f t="shared" si="1"/>
        <v>46.67</v>
      </c>
      <c r="I11" s="16">
        <f t="shared" si="2"/>
        <v>0.109</v>
      </c>
      <c r="J11" s="16">
        <f>ROUND(G11/162280-1,2)</f>
        <v>0.02</v>
      </c>
    </row>
    <row r="12" spans="1:10" x14ac:dyDescent="0.25">
      <c r="A12" s="1" t="s">
        <v>16</v>
      </c>
      <c r="B12" s="1" t="s">
        <v>87</v>
      </c>
      <c r="C12" s="11"/>
      <c r="D12" s="11"/>
      <c r="E12" s="11">
        <v>148</v>
      </c>
      <c r="F12" s="11"/>
      <c r="G12" s="11">
        <f t="shared" si="0"/>
        <v>148</v>
      </c>
      <c r="H12" s="17">
        <f t="shared" si="1"/>
        <v>0.04</v>
      </c>
      <c r="I12" s="16">
        <f t="shared" si="2"/>
        <v>0</v>
      </c>
      <c r="J12" s="16">
        <f>ROUND(G12/247-1,2)</f>
        <v>-0.4</v>
      </c>
    </row>
    <row r="13" spans="1:10" x14ac:dyDescent="0.25">
      <c r="A13" s="1" t="s">
        <v>16</v>
      </c>
      <c r="B13" s="1" t="s">
        <v>21</v>
      </c>
      <c r="C13" s="11"/>
      <c r="D13" s="11"/>
      <c r="E13" s="11">
        <v>226</v>
      </c>
      <c r="F13" s="11"/>
      <c r="G13" s="11">
        <f t="shared" si="0"/>
        <v>226</v>
      </c>
      <c r="H13" s="17">
        <f t="shared" si="1"/>
        <v>0.06</v>
      </c>
      <c r="I13" s="16">
        <f t="shared" si="2"/>
        <v>0</v>
      </c>
      <c r="J13" s="16">
        <f>ROUND(G13/393-1,2)</f>
        <v>-0.42</v>
      </c>
    </row>
    <row r="14" spans="1:10" x14ac:dyDescent="0.25">
      <c r="A14" s="1" t="s">
        <v>16</v>
      </c>
      <c r="B14" s="1" t="s">
        <v>22</v>
      </c>
      <c r="C14" s="11"/>
      <c r="D14" s="11"/>
      <c r="E14" s="11">
        <v>1100</v>
      </c>
      <c r="F14" s="11"/>
      <c r="G14" s="11">
        <f t="shared" si="0"/>
        <v>1100</v>
      </c>
      <c r="H14" s="17">
        <f t="shared" si="1"/>
        <v>0.31</v>
      </c>
      <c r="I14" s="16">
        <f t="shared" si="2"/>
        <v>1E-3</v>
      </c>
      <c r="J14" s="16">
        <f>ROUND(G14/1900-1,2)</f>
        <v>-0.42</v>
      </c>
    </row>
    <row r="15" spans="1:10" x14ac:dyDescent="0.25">
      <c r="A15" s="1" t="s">
        <v>16</v>
      </c>
      <c r="B15" s="1" t="s">
        <v>23</v>
      </c>
      <c r="C15" s="11"/>
      <c r="D15" s="11"/>
      <c r="E15" s="11">
        <v>37560</v>
      </c>
      <c r="F15" s="11"/>
      <c r="G15" s="11">
        <f t="shared" si="0"/>
        <v>37560</v>
      </c>
      <c r="H15" s="17">
        <f t="shared" si="1"/>
        <v>10.62</v>
      </c>
      <c r="I15" s="16">
        <f t="shared" si="2"/>
        <v>2.5000000000000001E-2</v>
      </c>
      <c r="J15" s="16">
        <f>ROUND(G15/51820-1,2)</f>
        <v>-0.28000000000000003</v>
      </c>
    </row>
    <row r="16" spans="1:10" x14ac:dyDescent="0.25">
      <c r="A16" s="1" t="s">
        <v>16</v>
      </c>
      <c r="B16" s="1" t="s">
        <v>24</v>
      </c>
      <c r="C16" s="11">
        <v>257340</v>
      </c>
      <c r="D16" s="11"/>
      <c r="E16" s="11">
        <v>8980</v>
      </c>
      <c r="F16" s="11">
        <v>1870</v>
      </c>
      <c r="G16" s="11">
        <f t="shared" si="0"/>
        <v>268190</v>
      </c>
      <c r="H16" s="17">
        <f t="shared" si="1"/>
        <v>75.849999999999994</v>
      </c>
      <c r="I16" s="16">
        <f t="shared" si="2"/>
        <v>0.17599999999999999</v>
      </c>
      <c r="J16" s="16">
        <f>ROUND(G16/254160-1,2)</f>
        <v>0.06</v>
      </c>
    </row>
    <row r="17" spans="1:10" x14ac:dyDescent="0.25">
      <c r="A17" s="1" t="s">
        <v>16</v>
      </c>
      <c r="B17" s="1" t="s">
        <v>25</v>
      </c>
      <c r="C17" s="11"/>
      <c r="D17" s="11"/>
      <c r="E17" s="11">
        <v>1880</v>
      </c>
      <c r="F17" s="11"/>
      <c r="G17" s="11">
        <f t="shared" si="0"/>
        <v>1880</v>
      </c>
      <c r="H17" s="17">
        <f t="shared" si="1"/>
        <v>0.53</v>
      </c>
      <c r="I17" s="16">
        <f t="shared" si="2"/>
        <v>1E-3</v>
      </c>
      <c r="J17" s="16">
        <f>ROUND(G17/3645-1,2)</f>
        <v>-0.48</v>
      </c>
    </row>
    <row r="18" spans="1:10" x14ac:dyDescent="0.25">
      <c r="A18" s="1" t="s">
        <v>16</v>
      </c>
      <c r="B18" s="1" t="s">
        <v>26</v>
      </c>
      <c r="C18" s="11">
        <v>309520</v>
      </c>
      <c r="D18" s="11"/>
      <c r="E18" s="11"/>
      <c r="F18" s="11">
        <v>1120</v>
      </c>
      <c r="G18" s="11">
        <f t="shared" si="0"/>
        <v>310640</v>
      </c>
      <c r="H18" s="17">
        <f t="shared" si="1"/>
        <v>87.85</v>
      </c>
      <c r="I18" s="16">
        <f t="shared" si="2"/>
        <v>0.20399999999999999</v>
      </c>
      <c r="J18" s="16">
        <f>ROUND(G18/266620-1,2)</f>
        <v>0.17</v>
      </c>
    </row>
    <row r="19" spans="1:10" x14ac:dyDescent="0.25">
      <c r="A19" s="1" t="s">
        <v>16</v>
      </c>
      <c r="B19" s="1" t="s">
        <v>27</v>
      </c>
      <c r="C19" s="11"/>
      <c r="D19" s="11"/>
      <c r="E19" s="11">
        <v>1220</v>
      </c>
      <c r="F19" s="11"/>
      <c r="G19" s="11">
        <f t="shared" si="0"/>
        <v>1220</v>
      </c>
      <c r="H19" s="17">
        <f t="shared" si="1"/>
        <v>0.35</v>
      </c>
      <c r="I19" s="16">
        <f t="shared" si="2"/>
        <v>1E-3</v>
      </c>
      <c r="J19" s="16">
        <f>ROUND(G19/1005-1,2)</f>
        <v>0.21</v>
      </c>
    </row>
    <row r="20" spans="1:10" x14ac:dyDescent="0.25">
      <c r="A20" s="1" t="s">
        <v>16</v>
      </c>
      <c r="B20" s="1" t="s">
        <v>28</v>
      </c>
      <c r="C20" s="11"/>
      <c r="D20" s="11"/>
      <c r="E20" s="11">
        <v>802</v>
      </c>
      <c r="F20" s="11"/>
      <c r="G20" s="11">
        <f t="shared" si="0"/>
        <v>802</v>
      </c>
      <c r="H20" s="17">
        <f t="shared" si="1"/>
        <v>0.23</v>
      </c>
      <c r="I20" s="16">
        <f t="shared" si="2"/>
        <v>1E-3</v>
      </c>
      <c r="J20" s="16">
        <f>ROUND(G20/440-1,2)</f>
        <v>0.82</v>
      </c>
    </row>
    <row r="21" spans="1:10" x14ac:dyDescent="0.25">
      <c r="A21" s="1" t="s">
        <v>16</v>
      </c>
      <c r="B21" s="1" t="s">
        <v>30</v>
      </c>
      <c r="C21" s="11"/>
      <c r="D21" s="11"/>
      <c r="E21" s="11">
        <v>4290</v>
      </c>
      <c r="F21" s="11"/>
      <c r="G21" s="11">
        <f t="shared" si="0"/>
        <v>4290</v>
      </c>
      <c r="H21" s="17">
        <f t="shared" si="1"/>
        <v>1.21</v>
      </c>
      <c r="I21" s="16">
        <f t="shared" si="2"/>
        <v>3.0000000000000001E-3</v>
      </c>
      <c r="J21" s="16">
        <f>ROUND(G21/3690-1,2)</f>
        <v>0.16</v>
      </c>
    </row>
    <row r="22" spans="1:10" x14ac:dyDescent="0.25">
      <c r="A22" s="1" t="s">
        <v>16</v>
      </c>
      <c r="B22" s="1" t="s">
        <v>31</v>
      </c>
      <c r="C22" s="11"/>
      <c r="D22" s="11"/>
      <c r="E22" s="11">
        <v>1130</v>
      </c>
      <c r="F22" s="11"/>
      <c r="G22" s="11">
        <f t="shared" si="0"/>
        <v>1130</v>
      </c>
      <c r="H22" s="17">
        <f t="shared" si="1"/>
        <v>0.32</v>
      </c>
      <c r="I22" s="16">
        <f t="shared" si="2"/>
        <v>1E-3</v>
      </c>
      <c r="J22" s="16">
        <f>ROUND(G22/1200-1,2)</f>
        <v>-0.06</v>
      </c>
    </row>
    <row r="23" spans="1:10" x14ac:dyDescent="0.25">
      <c r="A23" s="1" t="s">
        <v>16</v>
      </c>
      <c r="B23" s="1" t="s">
        <v>32</v>
      </c>
      <c r="C23" s="11"/>
      <c r="D23" s="11"/>
      <c r="E23" s="11">
        <v>420</v>
      </c>
      <c r="F23" s="11"/>
      <c r="G23" s="11">
        <f t="shared" si="0"/>
        <v>420</v>
      </c>
      <c r="H23" s="17">
        <f t="shared" si="1"/>
        <v>0.12</v>
      </c>
      <c r="I23" s="16">
        <f t="shared" si="2"/>
        <v>0</v>
      </c>
      <c r="J23" s="16">
        <f>ROUND(G23/580-1,2)</f>
        <v>-0.28000000000000003</v>
      </c>
    </row>
    <row r="24" spans="1:10" x14ac:dyDescent="0.25">
      <c r="A24" s="1" t="s">
        <v>16</v>
      </c>
      <c r="B24" s="1" t="s">
        <v>33</v>
      </c>
      <c r="C24" s="11"/>
      <c r="D24" s="11"/>
      <c r="E24" s="11">
        <v>1738</v>
      </c>
      <c r="F24" s="11"/>
      <c r="G24" s="11">
        <f t="shared" si="0"/>
        <v>1738</v>
      </c>
      <c r="H24" s="17">
        <f t="shared" si="1"/>
        <v>0.49</v>
      </c>
      <c r="I24" s="16">
        <f t="shared" si="2"/>
        <v>1E-3</v>
      </c>
      <c r="J24" s="16">
        <f>ROUND(G24/2100-1,2)</f>
        <v>-0.17</v>
      </c>
    </row>
    <row r="25" spans="1:10" x14ac:dyDescent="0.25">
      <c r="A25" s="1" t="s">
        <v>16</v>
      </c>
      <c r="B25" s="1" t="s">
        <v>34</v>
      </c>
      <c r="C25" s="11"/>
      <c r="D25" s="11">
        <v>124</v>
      </c>
      <c r="E25" s="11">
        <v>455</v>
      </c>
      <c r="F25" s="11"/>
      <c r="G25" s="11">
        <f t="shared" si="0"/>
        <v>579</v>
      </c>
      <c r="H25" s="17">
        <f t="shared" si="1"/>
        <v>0.16</v>
      </c>
      <c r="I25" s="16">
        <f t="shared" si="2"/>
        <v>0</v>
      </c>
      <c r="J25" s="16">
        <f>ROUND(G25/434-1,2)</f>
        <v>0.33</v>
      </c>
    </row>
    <row r="26" spans="1:10" x14ac:dyDescent="0.25">
      <c r="A26" s="1" t="s">
        <v>16</v>
      </c>
      <c r="B26" s="1" t="s">
        <v>35</v>
      </c>
      <c r="C26" s="11"/>
      <c r="D26" s="11"/>
      <c r="E26" s="11">
        <v>3348</v>
      </c>
      <c r="F26" s="11"/>
      <c r="G26" s="11">
        <f t="shared" si="0"/>
        <v>3348</v>
      </c>
      <c r="H26" s="17">
        <f t="shared" si="1"/>
        <v>0.95</v>
      </c>
      <c r="I26" s="16">
        <f t="shared" si="2"/>
        <v>2E-3</v>
      </c>
      <c r="J26" s="16"/>
    </row>
    <row r="27" spans="1:10" x14ac:dyDescent="0.25">
      <c r="A27" s="1" t="s">
        <v>16</v>
      </c>
      <c r="B27" s="1" t="s">
        <v>36</v>
      </c>
      <c r="C27" s="11"/>
      <c r="D27" s="11"/>
      <c r="E27" s="11">
        <v>670</v>
      </c>
      <c r="F27" s="11"/>
      <c r="G27" s="11">
        <f t="shared" si="0"/>
        <v>670</v>
      </c>
      <c r="H27" s="17">
        <f t="shared" si="1"/>
        <v>0.19</v>
      </c>
      <c r="I27" s="16">
        <f t="shared" si="2"/>
        <v>0</v>
      </c>
      <c r="J27" s="16">
        <f>ROUND(G27/1178.5-1,2)</f>
        <v>-0.43</v>
      </c>
    </row>
    <row r="28" spans="1:10" x14ac:dyDescent="0.25">
      <c r="A28" s="1" t="s">
        <v>16</v>
      </c>
      <c r="B28" s="1" t="s">
        <v>37</v>
      </c>
      <c r="C28" s="11"/>
      <c r="D28" s="11"/>
      <c r="E28" s="11">
        <v>2390</v>
      </c>
      <c r="F28" s="11"/>
      <c r="G28" s="11">
        <f t="shared" si="0"/>
        <v>2390</v>
      </c>
      <c r="H28" s="17">
        <f t="shared" si="1"/>
        <v>0.68</v>
      </c>
      <c r="I28" s="16">
        <f t="shared" si="2"/>
        <v>2E-3</v>
      </c>
      <c r="J28" s="16">
        <f>ROUND(G28/1660-1,2)</f>
        <v>0.44</v>
      </c>
    </row>
    <row r="29" spans="1:10" x14ac:dyDescent="0.25">
      <c r="A29" s="1" t="s">
        <v>16</v>
      </c>
      <c r="B29" s="1" t="s">
        <v>38</v>
      </c>
      <c r="C29" s="11"/>
      <c r="D29" s="11"/>
      <c r="E29" s="11">
        <v>1490</v>
      </c>
      <c r="F29" s="11"/>
      <c r="G29" s="11">
        <f t="shared" si="0"/>
        <v>1490</v>
      </c>
      <c r="H29" s="17">
        <f t="shared" si="1"/>
        <v>0.42</v>
      </c>
      <c r="I29" s="16">
        <f t="shared" si="2"/>
        <v>1E-3</v>
      </c>
      <c r="J29" s="16">
        <f>ROUND(G29/3570-1,2)</f>
        <v>-0.57999999999999996</v>
      </c>
    </row>
    <row r="30" spans="1:10" x14ac:dyDescent="0.25">
      <c r="A30" s="1" t="s">
        <v>16</v>
      </c>
      <c r="B30" s="1" t="s">
        <v>39</v>
      </c>
      <c r="C30" s="11"/>
      <c r="D30" s="11"/>
      <c r="E30" s="11">
        <v>12820</v>
      </c>
      <c r="F30" s="11"/>
      <c r="G30" s="11">
        <f t="shared" si="0"/>
        <v>12820</v>
      </c>
      <c r="H30" s="17">
        <f t="shared" si="1"/>
        <v>3.63</v>
      </c>
      <c r="I30" s="16">
        <f t="shared" si="2"/>
        <v>8.0000000000000002E-3</v>
      </c>
      <c r="J30" s="16">
        <f>ROUND(G30/4410-1,2)</f>
        <v>1.91</v>
      </c>
    </row>
    <row r="31" spans="1:10" x14ac:dyDescent="0.25">
      <c r="A31" s="1" t="s">
        <v>16</v>
      </c>
      <c r="B31" s="1" t="s">
        <v>40</v>
      </c>
      <c r="C31" s="11"/>
      <c r="D31" s="11"/>
      <c r="E31" s="11">
        <v>64600</v>
      </c>
      <c r="F31" s="11"/>
      <c r="G31" s="11">
        <f t="shared" si="0"/>
        <v>64600</v>
      </c>
      <c r="H31" s="17">
        <f t="shared" si="1"/>
        <v>18.27</v>
      </c>
      <c r="I31" s="16">
        <f t="shared" si="2"/>
        <v>4.2999999999999997E-2</v>
      </c>
      <c r="J31" s="16">
        <f>ROUND(G31/61620-1,2)</f>
        <v>0.05</v>
      </c>
    </row>
    <row r="32" spans="1:10" x14ac:dyDescent="0.25">
      <c r="A32" s="1" t="s">
        <v>16</v>
      </c>
      <c r="B32" s="1" t="s">
        <v>41</v>
      </c>
      <c r="C32" s="11"/>
      <c r="D32" s="11"/>
      <c r="E32" s="11">
        <v>4780</v>
      </c>
      <c r="F32" s="11"/>
      <c r="G32" s="11">
        <f t="shared" si="0"/>
        <v>4780</v>
      </c>
      <c r="H32" s="17">
        <f t="shared" si="1"/>
        <v>1.35</v>
      </c>
      <c r="I32" s="16">
        <f t="shared" si="2"/>
        <v>3.0000000000000001E-3</v>
      </c>
      <c r="J32" s="16">
        <f>ROUND(G32/4825-1,2)</f>
        <v>-0.01</v>
      </c>
    </row>
    <row r="33" spans="1:10" x14ac:dyDescent="0.25">
      <c r="A33" s="1" t="s">
        <v>16</v>
      </c>
      <c r="B33" s="1" t="s">
        <v>42</v>
      </c>
      <c r="C33" s="11"/>
      <c r="D33" s="11"/>
      <c r="E33" s="11">
        <v>17580</v>
      </c>
      <c r="F33" s="11"/>
      <c r="G33" s="11">
        <f t="shared" si="0"/>
        <v>17580</v>
      </c>
      <c r="H33" s="17">
        <f t="shared" si="1"/>
        <v>4.97</v>
      </c>
      <c r="I33" s="16">
        <f t="shared" si="2"/>
        <v>1.2E-2</v>
      </c>
      <c r="J33" s="16">
        <f>ROUND(G33/15520-1,2)</f>
        <v>0.13</v>
      </c>
    </row>
    <row r="34" spans="1:10" x14ac:dyDescent="0.25">
      <c r="A34" s="1" t="s">
        <v>16</v>
      </c>
      <c r="B34" s="1" t="s">
        <v>44</v>
      </c>
      <c r="C34" s="11"/>
      <c r="D34" s="11"/>
      <c r="E34" s="11">
        <v>104840</v>
      </c>
      <c r="F34" s="11">
        <v>420</v>
      </c>
      <c r="G34" s="11">
        <f t="shared" si="0"/>
        <v>105260</v>
      </c>
      <c r="H34" s="17">
        <f t="shared" si="1"/>
        <v>29.77</v>
      </c>
      <c r="I34" s="16">
        <f t="shared" si="2"/>
        <v>6.9000000000000006E-2</v>
      </c>
      <c r="J34" s="16">
        <f>ROUND(G34/137460-1,2)</f>
        <v>-0.23</v>
      </c>
    </row>
    <row r="35" spans="1:10" x14ac:dyDescent="0.25">
      <c r="A35" s="1" t="s">
        <v>16</v>
      </c>
      <c r="B35" s="1" t="s">
        <v>29</v>
      </c>
      <c r="C35" s="11"/>
      <c r="D35" s="11"/>
      <c r="E35" s="11"/>
      <c r="F35" s="11"/>
      <c r="G35" s="11">
        <f t="shared" si="0"/>
        <v>0</v>
      </c>
      <c r="H35" s="17">
        <f t="shared" si="1"/>
        <v>0</v>
      </c>
      <c r="I35" s="16">
        <f t="shared" si="2"/>
        <v>0</v>
      </c>
      <c r="J35" s="16">
        <f>ROUND(G35/198-1,2)</f>
        <v>-1</v>
      </c>
    </row>
    <row r="36" spans="1:10" x14ac:dyDescent="0.25">
      <c r="A36" s="1" t="s">
        <v>16</v>
      </c>
      <c r="B36" s="1" t="s">
        <v>97</v>
      </c>
      <c r="C36" s="11"/>
      <c r="D36" s="11"/>
      <c r="E36" s="11"/>
      <c r="F36" s="11"/>
      <c r="G36" s="11">
        <f t="shared" si="0"/>
        <v>0</v>
      </c>
      <c r="H36" s="17">
        <f t="shared" si="1"/>
        <v>0</v>
      </c>
      <c r="I36" s="16">
        <f t="shared" si="2"/>
        <v>0</v>
      </c>
      <c r="J36" s="16">
        <f>ROUND(G36/69-1,2)</f>
        <v>-1</v>
      </c>
    </row>
    <row r="37" spans="1:10" x14ac:dyDescent="0.25">
      <c r="A37" s="1" t="s">
        <v>16</v>
      </c>
      <c r="B37" s="1" t="s">
        <v>98</v>
      </c>
      <c r="C37" s="11"/>
      <c r="D37" s="11"/>
      <c r="E37" s="11"/>
      <c r="F37" s="11"/>
      <c r="G37" s="11">
        <f t="shared" si="0"/>
        <v>0</v>
      </c>
      <c r="H37" s="17">
        <f t="shared" si="1"/>
        <v>0</v>
      </c>
      <c r="I37" s="16">
        <f t="shared" si="2"/>
        <v>0</v>
      </c>
      <c r="J37" s="16">
        <f>ROUND(G37/251-1,2)</f>
        <v>-1</v>
      </c>
    </row>
    <row r="38" spans="1:10" x14ac:dyDescent="0.25">
      <c r="A38" s="1" t="s">
        <v>16</v>
      </c>
      <c r="B38" s="1" t="s">
        <v>96</v>
      </c>
      <c r="C38" s="11"/>
      <c r="D38" s="11"/>
      <c r="E38" s="11"/>
      <c r="F38" s="11"/>
      <c r="G38" s="11">
        <f t="shared" si="0"/>
        <v>0</v>
      </c>
      <c r="H38" s="17">
        <f t="shared" si="1"/>
        <v>0</v>
      </c>
      <c r="I38" s="16">
        <f t="shared" si="2"/>
        <v>0</v>
      </c>
      <c r="J38" s="16">
        <f>ROUND(G38/245-1,2)</f>
        <v>-1</v>
      </c>
    </row>
    <row r="39" spans="1:10" x14ac:dyDescent="0.25">
      <c r="A39" s="1" t="s">
        <v>16</v>
      </c>
      <c r="B39" s="1" t="s">
        <v>254</v>
      </c>
      <c r="C39" s="11"/>
      <c r="D39" s="11"/>
      <c r="E39" s="11"/>
      <c r="F39" s="11"/>
      <c r="G39" s="11">
        <f t="shared" si="0"/>
        <v>0</v>
      </c>
      <c r="H39" s="17">
        <f t="shared" si="1"/>
        <v>0</v>
      </c>
      <c r="I39" s="16">
        <f t="shared" si="2"/>
        <v>0</v>
      </c>
      <c r="J39" s="16"/>
    </row>
    <row r="40" spans="1:10" x14ac:dyDescent="0.25">
      <c r="A40" s="1" t="s">
        <v>45</v>
      </c>
      <c r="B40" s="1" t="s">
        <v>46</v>
      </c>
      <c r="C40" s="11">
        <v>296850</v>
      </c>
      <c r="D40" s="11"/>
      <c r="E40" s="11"/>
      <c r="F40" s="11">
        <v>1090</v>
      </c>
      <c r="G40" s="11">
        <f t="shared" si="0"/>
        <v>297940</v>
      </c>
      <c r="H40" s="17">
        <f t="shared" si="1"/>
        <v>84.26</v>
      </c>
      <c r="I40" s="16">
        <f t="shared" si="2"/>
        <v>0.19600000000000001</v>
      </c>
      <c r="J40" s="16">
        <f>ROUND(G40/299650-1,2)</f>
        <v>-0.01</v>
      </c>
    </row>
    <row r="41" spans="1:10" x14ac:dyDescent="0.25">
      <c r="A41" s="1" t="s">
        <v>45</v>
      </c>
      <c r="B41" s="1" t="s">
        <v>48</v>
      </c>
      <c r="C41" s="11"/>
      <c r="D41" s="11"/>
      <c r="E41" s="11"/>
      <c r="F41" s="11">
        <v>35080</v>
      </c>
      <c r="G41" s="11">
        <f t="shared" si="0"/>
        <v>35080</v>
      </c>
      <c r="H41" s="17">
        <f t="shared" si="1"/>
        <v>9.92</v>
      </c>
      <c r="I41" s="16">
        <f t="shared" si="2"/>
        <v>2.3E-2</v>
      </c>
      <c r="J41" s="16">
        <f>ROUND(G41/28420-1,2)</f>
        <v>0.23</v>
      </c>
    </row>
    <row r="42" spans="1:10" x14ac:dyDescent="0.25">
      <c r="A42" s="1" t="s">
        <v>45</v>
      </c>
      <c r="B42" s="1" t="s">
        <v>47</v>
      </c>
      <c r="C42" s="11"/>
      <c r="D42" s="11"/>
      <c r="E42" s="11">
        <v>42520</v>
      </c>
      <c r="F42" s="11"/>
      <c r="G42" s="11">
        <f t="shared" si="0"/>
        <v>42520</v>
      </c>
      <c r="H42" s="17">
        <f t="shared" si="1"/>
        <v>12.02</v>
      </c>
      <c r="I42" s="16">
        <f t="shared" si="2"/>
        <v>2.8000000000000001E-2</v>
      </c>
      <c r="J42" s="16">
        <f>ROUND(G42/46740-1,2)</f>
        <v>-0.09</v>
      </c>
    </row>
    <row r="43" spans="1:10" x14ac:dyDescent="0.25">
      <c r="A43" s="1" t="s">
        <v>49</v>
      </c>
      <c r="B43" s="1" t="s">
        <v>52</v>
      </c>
      <c r="C43" s="11"/>
      <c r="D43" s="11"/>
      <c r="E43" s="11"/>
      <c r="F43" s="11"/>
      <c r="G43" s="11">
        <f t="shared" si="0"/>
        <v>0</v>
      </c>
      <c r="H43" s="17">
        <f t="shared" si="1"/>
        <v>0</v>
      </c>
      <c r="I43" s="16">
        <f t="shared" si="2"/>
        <v>0</v>
      </c>
      <c r="J43" s="16"/>
    </row>
    <row r="44" spans="1:10" x14ac:dyDescent="0.25">
      <c r="A44" s="1" t="s">
        <v>49</v>
      </c>
      <c r="B44" s="1" t="s">
        <v>100</v>
      </c>
      <c r="C44" s="11"/>
      <c r="D44" s="11"/>
      <c r="E44" s="11"/>
      <c r="F44" s="11"/>
      <c r="G44" s="11">
        <f t="shared" si="0"/>
        <v>0</v>
      </c>
      <c r="H44" s="17">
        <f t="shared" si="1"/>
        <v>0</v>
      </c>
      <c r="I44" s="16">
        <f t="shared" si="2"/>
        <v>0</v>
      </c>
      <c r="J44" s="16"/>
    </row>
    <row r="45" spans="1:10" x14ac:dyDescent="0.25">
      <c r="A45" s="1" t="s">
        <v>49</v>
      </c>
      <c r="B45" s="1" t="s">
        <v>50</v>
      </c>
      <c r="C45" s="11"/>
      <c r="D45" s="11"/>
      <c r="E45" s="11"/>
      <c r="F45" s="11"/>
      <c r="G45" s="11">
        <f t="shared" si="0"/>
        <v>0</v>
      </c>
      <c r="H45" s="17">
        <f t="shared" si="1"/>
        <v>0</v>
      </c>
      <c r="I45" s="16">
        <f t="shared" si="2"/>
        <v>0</v>
      </c>
      <c r="J45" s="16"/>
    </row>
    <row r="46" spans="1:10" x14ac:dyDescent="0.25">
      <c r="A46" s="1" t="s">
        <v>49</v>
      </c>
      <c r="B46" s="1" t="s">
        <v>51</v>
      </c>
      <c r="C46" s="11"/>
      <c r="D46" s="11"/>
      <c r="E46" s="11"/>
      <c r="F46" s="11"/>
      <c r="G46" s="11">
        <f t="shared" si="0"/>
        <v>0</v>
      </c>
      <c r="H46" s="17">
        <f t="shared" si="1"/>
        <v>0</v>
      </c>
      <c r="I46" s="16">
        <f t="shared" si="2"/>
        <v>0</v>
      </c>
      <c r="J46" s="16">
        <f>ROUND(G46/600-1,2)</f>
        <v>-1</v>
      </c>
    </row>
    <row r="47" spans="1:10" x14ac:dyDescent="0.25">
      <c r="A47" s="1" t="s">
        <v>49</v>
      </c>
      <c r="B47" s="1" t="s">
        <v>88</v>
      </c>
      <c r="C47" s="11"/>
      <c r="D47" s="11"/>
      <c r="E47" s="11"/>
      <c r="F47" s="11"/>
      <c r="G47" s="11">
        <f t="shared" si="0"/>
        <v>0</v>
      </c>
      <c r="H47" s="17">
        <f t="shared" si="1"/>
        <v>0</v>
      </c>
      <c r="I47" s="16">
        <f t="shared" si="2"/>
        <v>0</v>
      </c>
      <c r="J47" s="16"/>
    </row>
    <row r="48" spans="1:10" x14ac:dyDescent="0.25">
      <c r="A48" s="26" t="s">
        <v>12</v>
      </c>
      <c r="B48" s="26"/>
      <c r="C48" s="12">
        <f t="shared" ref="C48:H48" si="3">SUM(C8:C47)</f>
        <v>1163790</v>
      </c>
      <c r="D48" s="12">
        <f t="shared" si="3"/>
        <v>124</v>
      </c>
      <c r="E48" s="12">
        <f t="shared" si="3"/>
        <v>316081</v>
      </c>
      <c r="F48" s="12">
        <f t="shared" si="3"/>
        <v>39580</v>
      </c>
      <c r="G48" s="12">
        <f t="shared" si="3"/>
        <v>1519575</v>
      </c>
      <c r="H48" s="15">
        <f t="shared" si="3"/>
        <v>429.73000000000008</v>
      </c>
      <c r="I48" s="18"/>
      <c r="J48" s="18"/>
    </row>
    <row r="49" spans="1:10" x14ac:dyDescent="0.25">
      <c r="A49" s="26" t="s">
        <v>14</v>
      </c>
      <c r="B49" s="26"/>
      <c r="C49" s="13">
        <f>ROUND(C48/G48,2)</f>
        <v>0.77</v>
      </c>
      <c r="D49" s="13">
        <f>ROUND(D48/G48,2)</f>
        <v>0</v>
      </c>
      <c r="E49" s="13">
        <f>ROUND(E48/G48,2)</f>
        <v>0.21</v>
      </c>
      <c r="F49" s="13">
        <f>ROUND(F48/G48,2)</f>
        <v>0.03</v>
      </c>
      <c r="G49" s="14"/>
      <c r="H49" s="14"/>
      <c r="I49" s="18"/>
      <c r="J49" s="18"/>
    </row>
    <row r="50" spans="1:10" x14ac:dyDescent="0.25">
      <c r="A50" s="2" t="s">
        <v>53</v>
      </c>
      <c r="B50" s="2"/>
      <c r="C50" s="14"/>
      <c r="D50" s="14"/>
      <c r="E50" s="14"/>
      <c r="F50" s="14"/>
      <c r="G50" s="14"/>
      <c r="H50" s="14"/>
      <c r="I50" s="18"/>
      <c r="J50" s="18"/>
    </row>
    <row r="51" spans="1:10" x14ac:dyDescent="0.25">
      <c r="C51" s="9"/>
      <c r="D51" s="9"/>
      <c r="E51" s="9"/>
      <c r="F51" s="9"/>
      <c r="G51" s="9"/>
      <c r="H51" s="9"/>
      <c r="I51" s="10"/>
      <c r="J51" s="10"/>
    </row>
    <row r="52" spans="1:10" x14ac:dyDescent="0.25">
      <c r="C52" s="9"/>
      <c r="D52" s="9"/>
      <c r="E52" s="9"/>
      <c r="F52" s="9"/>
      <c r="G52" s="9"/>
      <c r="H52" s="9"/>
      <c r="I52" s="10"/>
      <c r="J52" s="10"/>
    </row>
    <row r="53" spans="1:10" x14ac:dyDescent="0.25">
      <c r="C53" s="9"/>
      <c r="D53" s="9"/>
      <c r="E53" s="9"/>
      <c r="F53" s="9"/>
      <c r="G53" s="9"/>
      <c r="H53" s="9"/>
      <c r="I53" s="10"/>
      <c r="J53" s="10"/>
    </row>
    <row r="54" spans="1:10" x14ac:dyDescent="0.25">
      <c r="A54" s="26" t="s">
        <v>54</v>
      </c>
      <c r="B54" s="26"/>
      <c r="C54" s="12" t="s">
        <v>8</v>
      </c>
      <c r="D54" s="12" t="s">
        <v>9</v>
      </c>
      <c r="E54" s="12" t="s">
        <v>10</v>
      </c>
      <c r="F54" s="12" t="s">
        <v>11</v>
      </c>
      <c r="G54" s="12" t="s">
        <v>12</v>
      </c>
      <c r="H54" s="15" t="s">
        <v>13</v>
      </c>
      <c r="I54" s="18"/>
      <c r="J54" s="18"/>
    </row>
    <row r="55" spans="1:10" x14ac:dyDescent="0.25">
      <c r="A55" s="21" t="s">
        <v>55</v>
      </c>
      <c r="B55" s="21"/>
      <c r="C55" s="11">
        <v>866940</v>
      </c>
      <c r="D55" s="11">
        <v>124</v>
      </c>
      <c r="E55" s="11">
        <v>273561</v>
      </c>
      <c r="F55" s="11">
        <v>3410</v>
      </c>
      <c r="G55" s="11">
        <f>SUM(C55:F55)</f>
        <v>1144035</v>
      </c>
      <c r="H55" s="17">
        <f>ROUND(G55/3536,2)</f>
        <v>323.54000000000002</v>
      </c>
      <c r="I55" s="10"/>
      <c r="J55" s="10"/>
    </row>
    <row r="56" spans="1:10" x14ac:dyDescent="0.25">
      <c r="A56" s="21" t="s">
        <v>56</v>
      </c>
      <c r="B56" s="21"/>
      <c r="C56" s="11">
        <v>296850</v>
      </c>
      <c r="D56" s="11">
        <v>0</v>
      </c>
      <c r="E56" s="11">
        <v>42520</v>
      </c>
      <c r="F56" s="11">
        <v>36170</v>
      </c>
      <c r="G56" s="11">
        <f>SUM(C56:F56)</f>
        <v>375540</v>
      </c>
      <c r="H56" s="17">
        <f>ROUND(G56/3536,2)</f>
        <v>106.2</v>
      </c>
      <c r="I56" s="10"/>
      <c r="J56" s="10"/>
    </row>
    <row r="57" spans="1:10" x14ac:dyDescent="0.25">
      <c r="A57" s="21" t="s">
        <v>57</v>
      </c>
      <c r="B57" s="21"/>
      <c r="C57" s="11">
        <v>0</v>
      </c>
      <c r="D57" s="11">
        <v>0</v>
      </c>
      <c r="E57" s="11">
        <v>0</v>
      </c>
      <c r="F57" s="11">
        <v>0</v>
      </c>
      <c r="G57" s="11">
        <f>SUM(C57:F57)</f>
        <v>0</v>
      </c>
      <c r="H57" s="17">
        <f>ROUND(G57/3536,2)</f>
        <v>0</v>
      </c>
      <c r="I57" s="10"/>
      <c r="J57" s="10"/>
    </row>
    <row r="58" spans="1:10" x14ac:dyDescent="0.25">
      <c r="C58" s="9"/>
      <c r="D58" s="9"/>
      <c r="E58" s="9"/>
      <c r="F58" s="9"/>
      <c r="G58" s="9"/>
      <c r="H58" s="9"/>
      <c r="I58" s="10"/>
      <c r="J58" s="10"/>
    </row>
    <row r="59" spans="1:10" x14ac:dyDescent="0.25">
      <c r="C59" s="9"/>
      <c r="D59" s="9"/>
      <c r="E59" s="9"/>
      <c r="F59" s="9"/>
      <c r="G59" s="9"/>
      <c r="H59" s="9"/>
      <c r="I59" s="10"/>
      <c r="J59" s="10"/>
    </row>
    <row r="60" spans="1:10" x14ac:dyDescent="0.25">
      <c r="C60" s="9"/>
      <c r="D60" s="9"/>
      <c r="E60" s="9"/>
      <c r="F60" s="9"/>
      <c r="G60" s="9"/>
      <c r="H60" s="9"/>
      <c r="I60" s="10"/>
      <c r="J60" s="10"/>
    </row>
    <row r="61" spans="1:10" x14ac:dyDescent="0.25">
      <c r="C61" s="9"/>
      <c r="D61" s="9"/>
      <c r="E61" s="9"/>
      <c r="F61" s="9"/>
      <c r="G61" s="9"/>
      <c r="H61" s="9"/>
      <c r="I61" s="10"/>
      <c r="J61" s="10"/>
    </row>
    <row r="62" spans="1:10" x14ac:dyDescent="0.25">
      <c r="A62" s="26" t="s">
        <v>58</v>
      </c>
      <c r="B62" s="26"/>
      <c r="C62" s="15" t="s">
        <v>2</v>
      </c>
      <c r="D62" s="15">
        <v>2024</v>
      </c>
      <c r="E62" s="15" t="s">
        <v>60</v>
      </c>
      <c r="F62" s="14"/>
      <c r="G62" s="15" t="s">
        <v>61</v>
      </c>
      <c r="H62" s="15" t="s">
        <v>2</v>
      </c>
      <c r="I62" s="13" t="s">
        <v>62</v>
      </c>
      <c r="J62" s="13" t="s">
        <v>60</v>
      </c>
    </row>
    <row r="63" spans="1:10" x14ac:dyDescent="0.25">
      <c r="A63" s="21" t="s">
        <v>59</v>
      </c>
      <c r="B63" s="21"/>
      <c r="C63" s="16">
        <f>ROUND(0.7988, 4)</f>
        <v>0.79879999999999995</v>
      </c>
      <c r="D63" s="16">
        <f>ROUND(0.7842, 4)</f>
        <v>0.78420000000000001</v>
      </c>
      <c r="E63" s="16">
        <f>ROUND(0.7856, 4)</f>
        <v>0.78559999999999997</v>
      </c>
      <c r="F63" s="9"/>
      <c r="G63" s="15" t="s">
        <v>63</v>
      </c>
      <c r="H63" s="27" t="s">
        <v>64</v>
      </c>
      <c r="I63" s="24" t="s">
        <v>65</v>
      </c>
      <c r="J63" s="24" t="s">
        <v>66</v>
      </c>
    </row>
    <row r="64" spans="1:10" x14ac:dyDescent="0.25">
      <c r="A64" s="21" t="s">
        <v>67</v>
      </c>
      <c r="B64" s="21"/>
      <c r="C64" s="16">
        <f>ROUND(0.7988, 4)</f>
        <v>0.79879999999999995</v>
      </c>
      <c r="D64" s="16">
        <f>ROUND(0.7729, 4)</f>
        <v>0.77290000000000003</v>
      </c>
      <c r="E64" s="16">
        <f>ROUND(0.7702, 4)</f>
        <v>0.7702</v>
      </c>
      <c r="F64" s="9"/>
      <c r="G64" s="15" t="s">
        <v>68</v>
      </c>
      <c r="H64" s="28"/>
      <c r="I64" s="25"/>
      <c r="J64" s="25"/>
    </row>
    <row r="65" spans="1:10" x14ac:dyDescent="0.25">
      <c r="C65" s="9"/>
      <c r="D65" s="9"/>
      <c r="E65" s="9"/>
      <c r="F65" s="9"/>
      <c r="G65" s="9"/>
      <c r="H65" s="9"/>
      <c r="I65" s="10"/>
      <c r="J65" s="10"/>
    </row>
    <row r="66" spans="1:10" x14ac:dyDescent="0.25">
      <c r="C66" s="9"/>
      <c r="D66" s="9"/>
      <c r="E66" s="9"/>
      <c r="F66" s="9"/>
      <c r="G66" s="9"/>
      <c r="H66" s="9"/>
      <c r="I66" s="10"/>
      <c r="J66" s="10"/>
    </row>
    <row r="67" spans="1:10" x14ac:dyDescent="0.25">
      <c r="C67" s="9"/>
      <c r="D67" s="9"/>
      <c r="E67" s="9"/>
      <c r="F67" s="9"/>
      <c r="G67" s="9"/>
      <c r="H67" s="9"/>
      <c r="I67" s="10"/>
      <c r="J67" s="10"/>
    </row>
    <row r="68" spans="1:10" x14ac:dyDescent="0.25">
      <c r="A68" s="26" t="s">
        <v>69</v>
      </c>
      <c r="B68" s="26"/>
      <c r="C68" s="15" t="s">
        <v>2</v>
      </c>
      <c r="D68" s="15" t="s">
        <v>258</v>
      </c>
      <c r="E68" s="15" t="s">
        <v>71</v>
      </c>
      <c r="F68" s="15" t="s">
        <v>72</v>
      </c>
      <c r="G68" s="15" t="s">
        <v>73</v>
      </c>
      <c r="H68" s="14"/>
      <c r="I68" s="18"/>
      <c r="J68" s="18"/>
    </row>
    <row r="69" spans="1:10" x14ac:dyDescent="0.25">
      <c r="A69" s="21" t="s">
        <v>74</v>
      </c>
      <c r="B69" s="21"/>
      <c r="C69" s="17">
        <v>84.26</v>
      </c>
      <c r="D69" s="17">
        <v>81.650000000000006</v>
      </c>
      <c r="E69" s="17">
        <v>96.15</v>
      </c>
      <c r="F69" s="17">
        <v>57.94</v>
      </c>
      <c r="G69" s="17">
        <f>12/12*C69</f>
        <v>84.26</v>
      </c>
      <c r="H69" s="9"/>
      <c r="I69" s="10"/>
      <c r="J69" s="10"/>
    </row>
    <row r="70" spans="1:10" x14ac:dyDescent="0.25">
      <c r="A70" s="21" t="s">
        <v>75</v>
      </c>
      <c r="B70" s="21"/>
      <c r="C70" s="17">
        <v>87.85</v>
      </c>
      <c r="D70" s="17">
        <v>76.73</v>
      </c>
      <c r="E70" s="17">
        <v>62.28</v>
      </c>
      <c r="F70" s="17">
        <v>66.599999999999994</v>
      </c>
      <c r="G70" s="17">
        <f>12/12*C70</f>
        <v>87.85</v>
      </c>
      <c r="H70" s="9"/>
      <c r="I70" s="10"/>
      <c r="J70" s="10"/>
    </row>
    <row r="71" spans="1:10" x14ac:dyDescent="0.25">
      <c r="A71" s="21" t="s">
        <v>76</v>
      </c>
      <c r="B71" s="21"/>
      <c r="C71" s="17">
        <v>323.54000000000002</v>
      </c>
      <c r="D71" s="17">
        <v>311.26</v>
      </c>
      <c r="E71" s="17">
        <v>300.02</v>
      </c>
      <c r="F71" s="17">
        <v>295.08</v>
      </c>
      <c r="G71" s="17">
        <f>12/12*C71</f>
        <v>323.54000000000002</v>
      </c>
      <c r="H71" s="9"/>
      <c r="I71" s="10"/>
      <c r="J71" s="10"/>
    </row>
    <row r="72" spans="1:10" x14ac:dyDescent="0.25">
      <c r="A72" s="21" t="s">
        <v>77</v>
      </c>
      <c r="B72" s="21"/>
      <c r="C72" s="1">
        <v>106.2</v>
      </c>
      <c r="D72" s="1">
        <v>104.94</v>
      </c>
      <c r="E72" s="1">
        <v>120.96</v>
      </c>
      <c r="F72" s="1">
        <v>83.12</v>
      </c>
      <c r="G72" s="1">
        <f>12/12*C72</f>
        <v>106.2</v>
      </c>
    </row>
    <row r="75" spans="1:10" x14ac:dyDescent="0.25">
      <c r="A75" s="22" t="s">
        <v>61</v>
      </c>
      <c r="B75" s="23"/>
    </row>
    <row r="76" spans="1:10" x14ac:dyDescent="0.25">
      <c r="A76" s="3" t="s">
        <v>78</v>
      </c>
      <c r="B76" s="1" t="s">
        <v>259</v>
      </c>
    </row>
    <row r="77" spans="1:10" x14ac:dyDescent="0.25">
      <c r="A77" s="3" t="s">
        <v>71</v>
      </c>
      <c r="B77" s="1" t="s">
        <v>80</v>
      </c>
    </row>
    <row r="78" spans="1:10" x14ac:dyDescent="0.25">
      <c r="A78" s="3" t="s">
        <v>72</v>
      </c>
      <c r="B78" s="1" t="s">
        <v>81</v>
      </c>
    </row>
    <row r="79" spans="1:10" x14ac:dyDescent="0.25">
      <c r="A79" s="3" t="s">
        <v>73</v>
      </c>
      <c r="B79" s="1" t="s">
        <v>82</v>
      </c>
    </row>
  </sheetData>
  <mergeCells count="19">
    <mergeCell ref="C7:G7"/>
    <mergeCell ref="A48:B48"/>
    <mergeCell ref="A49:B49"/>
    <mergeCell ref="A54:B54"/>
    <mergeCell ref="A55:B55"/>
    <mergeCell ref="J63:J64"/>
    <mergeCell ref="A64:B64"/>
    <mergeCell ref="A68:B68"/>
    <mergeCell ref="A69:B69"/>
    <mergeCell ref="A56:B56"/>
    <mergeCell ref="A57:B57"/>
    <mergeCell ref="A62:B62"/>
    <mergeCell ref="A63:B63"/>
    <mergeCell ref="H63:H64"/>
    <mergeCell ref="A70:B70"/>
    <mergeCell ref="A71:B71"/>
    <mergeCell ref="A72:B72"/>
    <mergeCell ref="A75:B75"/>
    <mergeCell ref="I63:I64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J74"/>
  <sheetViews>
    <sheetView workbookViewId="0">
      <selection activeCell="H5" sqref="H5"/>
    </sheetView>
  </sheetViews>
  <sheetFormatPr defaultRowHeight="15" x14ac:dyDescent="0.25"/>
  <cols>
    <col min="1" max="1" width="28.42578125" bestFit="1" customWidth="1"/>
    <col min="2" max="2" width="59.5703125" bestFit="1" customWidth="1"/>
    <col min="3" max="3" width="12.7109375" bestFit="1" customWidth="1"/>
    <col min="4" max="4" width="29.140625" bestFit="1" customWidth="1"/>
    <col min="5" max="5" width="13.85546875" bestFit="1" customWidth="1"/>
    <col min="6" max="6" width="8.5703125" bestFit="1" customWidth="1"/>
    <col min="7" max="7" width="47.7109375" bestFit="1" customWidth="1"/>
    <col min="8" max="9" width="16.7109375" bestFit="1" customWidth="1"/>
    <col min="10" max="10" width="24.42578125" bestFit="1" customWidth="1"/>
  </cols>
  <sheetData>
    <row r="2" spans="1:10" ht="18.75" x14ac:dyDescent="0.3">
      <c r="A2" s="3" t="s">
        <v>0</v>
      </c>
      <c r="B2" s="4" t="s">
        <v>260</v>
      </c>
    </row>
    <row r="3" spans="1:10" x14ac:dyDescent="0.25">
      <c r="A3" s="3" t="s">
        <v>2</v>
      </c>
      <c r="B3" s="1" t="s">
        <v>3</v>
      </c>
    </row>
    <row r="4" spans="1:10" x14ac:dyDescent="0.25">
      <c r="A4" s="3" t="s">
        <v>4</v>
      </c>
      <c r="B4" s="20">
        <v>825</v>
      </c>
    </row>
    <row r="7" spans="1:10" x14ac:dyDescent="0.25">
      <c r="C7" s="22" t="s">
        <v>5</v>
      </c>
      <c r="D7" s="21"/>
      <c r="E7" s="21"/>
      <c r="F7" s="21"/>
      <c r="G7" s="21"/>
    </row>
    <row r="8" spans="1:10" x14ac:dyDescent="0.25">
      <c r="A8" s="3" t="s">
        <v>6</v>
      </c>
      <c r="B8" s="3" t="s">
        <v>7</v>
      </c>
      <c r="C8" s="15" t="s">
        <v>8</v>
      </c>
      <c r="D8" s="15" t="s">
        <v>9</v>
      </c>
      <c r="E8" s="15" t="s">
        <v>10</v>
      </c>
      <c r="F8" s="15" t="s">
        <v>11</v>
      </c>
      <c r="G8" s="15" t="s">
        <v>12</v>
      </c>
      <c r="H8" s="15" t="s">
        <v>13</v>
      </c>
      <c r="I8" s="15" t="s">
        <v>14</v>
      </c>
      <c r="J8" s="15" t="s">
        <v>15</v>
      </c>
    </row>
    <row r="9" spans="1:10" x14ac:dyDescent="0.25">
      <c r="A9" s="1" t="s">
        <v>16</v>
      </c>
      <c r="B9" s="1" t="s">
        <v>17</v>
      </c>
      <c r="C9" s="11"/>
      <c r="D9" s="11"/>
      <c r="E9" s="11">
        <v>34</v>
      </c>
      <c r="F9" s="11"/>
      <c r="G9" s="11">
        <f t="shared" ref="G9:G39" si="0">SUM(C9:F9)</f>
        <v>34</v>
      </c>
      <c r="H9" s="17">
        <f t="shared" ref="H9:H39" si="1">ROUND(G9/825,2)</f>
        <v>0.04</v>
      </c>
      <c r="I9" s="16">
        <f t="shared" ref="I9:I39" si="2">ROUND(G9/$G$40,3)</f>
        <v>0</v>
      </c>
      <c r="J9" s="16">
        <f>ROUND(G9/18-1,2)</f>
        <v>0.89</v>
      </c>
    </row>
    <row r="10" spans="1:10" x14ac:dyDescent="0.25">
      <c r="A10" s="1" t="s">
        <v>16</v>
      </c>
      <c r="B10" s="1" t="s">
        <v>19</v>
      </c>
      <c r="C10" s="11">
        <v>23880</v>
      </c>
      <c r="D10" s="11"/>
      <c r="E10" s="11">
        <v>4462</v>
      </c>
      <c r="F10" s="11"/>
      <c r="G10" s="11">
        <f t="shared" si="0"/>
        <v>28342</v>
      </c>
      <c r="H10" s="17">
        <f t="shared" si="1"/>
        <v>34.35</v>
      </c>
      <c r="I10" s="16">
        <f t="shared" si="2"/>
        <v>7.2999999999999995E-2</v>
      </c>
      <c r="J10" s="16">
        <f>ROUND(G10/30055-1,2)</f>
        <v>-0.06</v>
      </c>
    </row>
    <row r="11" spans="1:10" x14ac:dyDescent="0.25">
      <c r="A11" s="1" t="s">
        <v>16</v>
      </c>
      <c r="B11" s="1" t="s">
        <v>20</v>
      </c>
      <c r="C11" s="11">
        <v>41630</v>
      </c>
      <c r="D11" s="11">
        <v>1980</v>
      </c>
      <c r="E11" s="11"/>
      <c r="F11" s="11"/>
      <c r="G11" s="11">
        <f t="shared" si="0"/>
        <v>43610</v>
      </c>
      <c r="H11" s="17">
        <f t="shared" si="1"/>
        <v>52.86</v>
      </c>
      <c r="I11" s="16">
        <f t="shared" si="2"/>
        <v>0.113</v>
      </c>
      <c r="J11" s="16">
        <f>ROUND(G11/41555-1,2)</f>
        <v>0.05</v>
      </c>
    </row>
    <row r="12" spans="1:10" x14ac:dyDescent="0.25">
      <c r="A12" s="1" t="s">
        <v>16</v>
      </c>
      <c r="B12" s="1" t="s">
        <v>21</v>
      </c>
      <c r="C12" s="11"/>
      <c r="D12" s="11"/>
      <c r="E12" s="11">
        <v>105</v>
      </c>
      <c r="F12" s="11"/>
      <c r="G12" s="11">
        <f t="shared" si="0"/>
        <v>105</v>
      </c>
      <c r="H12" s="17">
        <f t="shared" si="1"/>
        <v>0.13</v>
      </c>
      <c r="I12" s="16">
        <f t="shared" si="2"/>
        <v>0</v>
      </c>
      <c r="J12" s="16">
        <f>ROUND(G12/87-1,2)</f>
        <v>0.21</v>
      </c>
    </row>
    <row r="13" spans="1:10" x14ac:dyDescent="0.25">
      <c r="A13" s="1" t="s">
        <v>16</v>
      </c>
      <c r="B13" s="1" t="s">
        <v>22</v>
      </c>
      <c r="C13" s="11"/>
      <c r="D13" s="11"/>
      <c r="E13" s="11">
        <v>686</v>
      </c>
      <c r="F13" s="11"/>
      <c r="G13" s="11">
        <f t="shared" si="0"/>
        <v>686</v>
      </c>
      <c r="H13" s="17">
        <f t="shared" si="1"/>
        <v>0.83</v>
      </c>
      <c r="I13" s="16">
        <f t="shared" si="2"/>
        <v>2E-3</v>
      </c>
      <c r="J13" s="16">
        <f>ROUND(G13/1007-1,2)</f>
        <v>-0.32</v>
      </c>
    </row>
    <row r="14" spans="1:10" x14ac:dyDescent="0.25">
      <c r="A14" s="1" t="s">
        <v>16</v>
      </c>
      <c r="B14" s="1" t="s">
        <v>23</v>
      </c>
      <c r="C14" s="11"/>
      <c r="D14" s="11"/>
      <c r="E14" s="11">
        <v>64665</v>
      </c>
      <c r="F14" s="11"/>
      <c r="G14" s="11">
        <f t="shared" si="0"/>
        <v>64665</v>
      </c>
      <c r="H14" s="17">
        <f t="shared" si="1"/>
        <v>78.38</v>
      </c>
      <c r="I14" s="16">
        <f t="shared" si="2"/>
        <v>0.16700000000000001</v>
      </c>
      <c r="J14" s="16">
        <f>ROUND(G14/49173-1,2)</f>
        <v>0.32</v>
      </c>
    </row>
    <row r="15" spans="1:10" x14ac:dyDescent="0.25">
      <c r="A15" s="1" t="s">
        <v>16</v>
      </c>
      <c r="B15" s="1" t="s">
        <v>24</v>
      </c>
      <c r="C15" s="11">
        <v>33620</v>
      </c>
      <c r="D15" s="11"/>
      <c r="E15" s="11">
        <v>8581</v>
      </c>
      <c r="F15" s="11"/>
      <c r="G15" s="11">
        <f t="shared" si="0"/>
        <v>42201</v>
      </c>
      <c r="H15" s="17">
        <f t="shared" si="1"/>
        <v>51.15</v>
      </c>
      <c r="I15" s="16">
        <f t="shared" si="2"/>
        <v>0.109</v>
      </c>
      <c r="J15" s="16">
        <f>ROUND(G15/44980-1,2)</f>
        <v>-0.06</v>
      </c>
    </row>
    <row r="16" spans="1:10" x14ac:dyDescent="0.25">
      <c r="A16" s="1" t="s">
        <v>16</v>
      </c>
      <c r="B16" s="1" t="s">
        <v>25</v>
      </c>
      <c r="C16" s="11"/>
      <c r="D16" s="11"/>
      <c r="E16" s="11">
        <v>2006</v>
      </c>
      <c r="F16" s="11"/>
      <c r="G16" s="11">
        <f t="shared" si="0"/>
        <v>2006</v>
      </c>
      <c r="H16" s="17">
        <f t="shared" si="1"/>
        <v>2.4300000000000002</v>
      </c>
      <c r="I16" s="16">
        <f t="shared" si="2"/>
        <v>5.0000000000000001E-3</v>
      </c>
      <c r="J16" s="16">
        <f>ROUND(G16/1483-1,2)</f>
        <v>0.35</v>
      </c>
    </row>
    <row r="17" spans="1:10" x14ac:dyDescent="0.25">
      <c r="A17" s="1" t="s">
        <v>16</v>
      </c>
      <c r="B17" s="1" t="s">
        <v>26</v>
      </c>
      <c r="C17" s="11">
        <v>38840</v>
      </c>
      <c r="D17" s="11"/>
      <c r="E17" s="11"/>
      <c r="F17" s="11"/>
      <c r="G17" s="11">
        <f t="shared" si="0"/>
        <v>38840</v>
      </c>
      <c r="H17" s="17">
        <f t="shared" si="1"/>
        <v>47.08</v>
      </c>
      <c r="I17" s="16">
        <f t="shared" si="2"/>
        <v>0.1</v>
      </c>
      <c r="J17" s="16">
        <f>ROUND(G17/42810-1,2)</f>
        <v>-0.09</v>
      </c>
    </row>
    <row r="18" spans="1:10" x14ac:dyDescent="0.25">
      <c r="A18" s="1" t="s">
        <v>16</v>
      </c>
      <c r="B18" s="1" t="s">
        <v>27</v>
      </c>
      <c r="C18" s="11"/>
      <c r="D18" s="11"/>
      <c r="E18" s="11">
        <v>464</v>
      </c>
      <c r="F18" s="11"/>
      <c r="G18" s="11">
        <f t="shared" si="0"/>
        <v>464</v>
      </c>
      <c r="H18" s="17">
        <f t="shared" si="1"/>
        <v>0.56000000000000005</v>
      </c>
      <c r="I18" s="16">
        <f t="shared" si="2"/>
        <v>1E-3</v>
      </c>
      <c r="J18" s="16">
        <f>ROUND(G18/474-1,2)</f>
        <v>-0.02</v>
      </c>
    </row>
    <row r="19" spans="1:10" x14ac:dyDescent="0.25">
      <c r="A19" s="1" t="s">
        <v>16</v>
      </c>
      <c r="B19" s="1" t="s">
        <v>28</v>
      </c>
      <c r="C19" s="11"/>
      <c r="D19" s="11"/>
      <c r="E19" s="11">
        <v>200</v>
      </c>
      <c r="F19" s="11"/>
      <c r="G19" s="11">
        <f t="shared" si="0"/>
        <v>200</v>
      </c>
      <c r="H19" s="17">
        <f t="shared" si="1"/>
        <v>0.24</v>
      </c>
      <c r="I19" s="16">
        <f t="shared" si="2"/>
        <v>1E-3</v>
      </c>
      <c r="J19" s="16">
        <f>ROUND(G19/252-1,2)</f>
        <v>-0.21</v>
      </c>
    </row>
    <row r="20" spans="1:10" x14ac:dyDescent="0.25">
      <c r="A20" s="1" t="s">
        <v>16</v>
      </c>
      <c r="B20" s="1" t="s">
        <v>29</v>
      </c>
      <c r="C20" s="11"/>
      <c r="D20" s="11"/>
      <c r="E20" s="11">
        <v>47</v>
      </c>
      <c r="F20" s="11"/>
      <c r="G20" s="11">
        <f t="shared" si="0"/>
        <v>47</v>
      </c>
      <c r="H20" s="17">
        <f t="shared" si="1"/>
        <v>0.06</v>
      </c>
      <c r="I20" s="16">
        <f t="shared" si="2"/>
        <v>0</v>
      </c>
      <c r="J20" s="16"/>
    </row>
    <row r="21" spans="1:10" x14ac:dyDescent="0.25">
      <c r="A21" s="1" t="s">
        <v>16</v>
      </c>
      <c r="B21" s="1" t="s">
        <v>30</v>
      </c>
      <c r="C21" s="11"/>
      <c r="D21" s="11"/>
      <c r="E21" s="11">
        <v>1697</v>
      </c>
      <c r="F21" s="11"/>
      <c r="G21" s="11">
        <f t="shared" si="0"/>
        <v>1697</v>
      </c>
      <c r="H21" s="17">
        <f t="shared" si="1"/>
        <v>2.06</v>
      </c>
      <c r="I21" s="16">
        <f t="shared" si="2"/>
        <v>4.0000000000000001E-3</v>
      </c>
      <c r="J21" s="16">
        <f>ROUND(G21/2282-1,2)</f>
        <v>-0.26</v>
      </c>
    </row>
    <row r="22" spans="1:10" x14ac:dyDescent="0.25">
      <c r="A22" s="1" t="s">
        <v>16</v>
      </c>
      <c r="B22" s="1" t="s">
        <v>31</v>
      </c>
      <c r="C22" s="11"/>
      <c r="D22" s="11"/>
      <c r="E22" s="11">
        <v>179</v>
      </c>
      <c r="F22" s="11"/>
      <c r="G22" s="11">
        <f t="shared" si="0"/>
        <v>179</v>
      </c>
      <c r="H22" s="17">
        <f t="shared" si="1"/>
        <v>0.22</v>
      </c>
      <c r="I22" s="16">
        <f t="shared" si="2"/>
        <v>0</v>
      </c>
      <c r="J22" s="16">
        <f>ROUND(G22/253-1,2)</f>
        <v>-0.28999999999999998</v>
      </c>
    </row>
    <row r="23" spans="1:10" x14ac:dyDescent="0.25">
      <c r="A23" s="1" t="s">
        <v>16</v>
      </c>
      <c r="B23" s="1" t="s">
        <v>33</v>
      </c>
      <c r="C23" s="11"/>
      <c r="D23" s="11"/>
      <c r="E23" s="11">
        <v>728</v>
      </c>
      <c r="F23" s="11"/>
      <c r="G23" s="11">
        <f t="shared" si="0"/>
        <v>728</v>
      </c>
      <c r="H23" s="17">
        <f t="shared" si="1"/>
        <v>0.88</v>
      </c>
      <c r="I23" s="16">
        <f t="shared" si="2"/>
        <v>2E-3</v>
      </c>
      <c r="J23" s="16">
        <f>ROUND(G23/901-1,2)</f>
        <v>-0.19</v>
      </c>
    </row>
    <row r="24" spans="1:10" x14ac:dyDescent="0.25">
      <c r="A24" s="1" t="s">
        <v>16</v>
      </c>
      <c r="B24" s="1" t="s">
        <v>34</v>
      </c>
      <c r="C24" s="11"/>
      <c r="D24" s="11"/>
      <c r="E24" s="11">
        <v>45</v>
      </c>
      <c r="F24" s="11"/>
      <c r="G24" s="11">
        <f t="shared" si="0"/>
        <v>45</v>
      </c>
      <c r="H24" s="17">
        <f t="shared" si="1"/>
        <v>0.05</v>
      </c>
      <c r="I24" s="16">
        <f t="shared" si="2"/>
        <v>0</v>
      </c>
      <c r="J24" s="16">
        <f>ROUND(G24/110-1,2)</f>
        <v>-0.59</v>
      </c>
    </row>
    <row r="25" spans="1:10" x14ac:dyDescent="0.25">
      <c r="A25" s="1" t="s">
        <v>16</v>
      </c>
      <c r="B25" s="1" t="s">
        <v>35</v>
      </c>
      <c r="C25" s="11"/>
      <c r="D25" s="11"/>
      <c r="E25" s="11">
        <v>844</v>
      </c>
      <c r="F25" s="11"/>
      <c r="G25" s="11">
        <f t="shared" si="0"/>
        <v>844</v>
      </c>
      <c r="H25" s="17">
        <f t="shared" si="1"/>
        <v>1.02</v>
      </c>
      <c r="I25" s="16">
        <f t="shared" si="2"/>
        <v>2E-3</v>
      </c>
      <c r="J25" s="16">
        <f>ROUND(G25/120-1,2)</f>
        <v>6.03</v>
      </c>
    </row>
    <row r="26" spans="1:10" x14ac:dyDescent="0.25">
      <c r="A26" s="1" t="s">
        <v>16</v>
      </c>
      <c r="B26" s="1" t="s">
        <v>37</v>
      </c>
      <c r="C26" s="11"/>
      <c r="D26" s="11"/>
      <c r="E26" s="11">
        <v>930</v>
      </c>
      <c r="F26" s="11"/>
      <c r="G26" s="11">
        <f t="shared" si="0"/>
        <v>930</v>
      </c>
      <c r="H26" s="17">
        <f t="shared" si="1"/>
        <v>1.1299999999999999</v>
      </c>
      <c r="I26" s="16">
        <f t="shared" si="2"/>
        <v>2E-3</v>
      </c>
      <c r="J26" s="16">
        <f>ROUND(G26/913-1,2)</f>
        <v>0.02</v>
      </c>
    </row>
    <row r="27" spans="1:10" x14ac:dyDescent="0.25">
      <c r="A27" s="1" t="s">
        <v>16</v>
      </c>
      <c r="B27" s="1" t="s">
        <v>39</v>
      </c>
      <c r="C27" s="11"/>
      <c r="D27" s="11"/>
      <c r="E27" s="11">
        <v>2993</v>
      </c>
      <c r="F27" s="11"/>
      <c r="G27" s="11">
        <f t="shared" si="0"/>
        <v>2993</v>
      </c>
      <c r="H27" s="17">
        <f t="shared" si="1"/>
        <v>3.63</v>
      </c>
      <c r="I27" s="16">
        <f t="shared" si="2"/>
        <v>8.0000000000000002E-3</v>
      </c>
      <c r="J27" s="16">
        <f>ROUND(G27/2662-1,2)</f>
        <v>0.12</v>
      </c>
    </row>
    <row r="28" spans="1:10" x14ac:dyDescent="0.25">
      <c r="A28" s="1" t="s">
        <v>16</v>
      </c>
      <c r="B28" s="1" t="s">
        <v>38</v>
      </c>
      <c r="C28" s="11"/>
      <c r="D28" s="11"/>
      <c r="E28" s="11">
        <v>1878</v>
      </c>
      <c r="F28" s="11"/>
      <c r="G28" s="11">
        <f t="shared" si="0"/>
        <v>1878</v>
      </c>
      <c r="H28" s="17">
        <f t="shared" si="1"/>
        <v>2.2799999999999998</v>
      </c>
      <c r="I28" s="16">
        <f t="shared" si="2"/>
        <v>5.0000000000000001E-3</v>
      </c>
      <c r="J28" s="16">
        <f>ROUND(G28/3023-1,2)</f>
        <v>-0.38</v>
      </c>
    </row>
    <row r="29" spans="1:10" x14ac:dyDescent="0.25">
      <c r="A29" s="1" t="s">
        <v>16</v>
      </c>
      <c r="B29" s="1" t="s">
        <v>40</v>
      </c>
      <c r="C29" s="11"/>
      <c r="D29" s="11"/>
      <c r="E29" s="11">
        <v>35108</v>
      </c>
      <c r="F29" s="11"/>
      <c r="G29" s="11">
        <f t="shared" si="0"/>
        <v>35108</v>
      </c>
      <c r="H29" s="17">
        <f t="shared" si="1"/>
        <v>42.56</v>
      </c>
      <c r="I29" s="16">
        <f t="shared" si="2"/>
        <v>9.0999999999999998E-2</v>
      </c>
      <c r="J29" s="16">
        <f>ROUND(G29/29668-1,2)</f>
        <v>0.18</v>
      </c>
    </row>
    <row r="30" spans="1:10" x14ac:dyDescent="0.25">
      <c r="A30" s="1" t="s">
        <v>16</v>
      </c>
      <c r="B30" s="1" t="s">
        <v>42</v>
      </c>
      <c r="C30" s="11"/>
      <c r="D30" s="11"/>
      <c r="E30" s="11">
        <v>10858</v>
      </c>
      <c r="F30" s="11"/>
      <c r="G30" s="11">
        <f t="shared" si="0"/>
        <v>10858</v>
      </c>
      <c r="H30" s="17">
        <f t="shared" si="1"/>
        <v>13.16</v>
      </c>
      <c r="I30" s="16">
        <f t="shared" si="2"/>
        <v>2.8000000000000001E-2</v>
      </c>
      <c r="J30" s="16">
        <f>ROUND(G30/10941-1,2)</f>
        <v>-0.01</v>
      </c>
    </row>
    <row r="31" spans="1:10" x14ac:dyDescent="0.25">
      <c r="A31" s="1" t="s">
        <v>16</v>
      </c>
      <c r="B31" s="1" t="s">
        <v>44</v>
      </c>
      <c r="C31" s="11"/>
      <c r="D31" s="11"/>
      <c r="E31" s="11">
        <v>4163</v>
      </c>
      <c r="F31" s="11"/>
      <c r="G31" s="11">
        <f t="shared" si="0"/>
        <v>4163</v>
      </c>
      <c r="H31" s="17">
        <f t="shared" si="1"/>
        <v>5.05</v>
      </c>
      <c r="I31" s="16">
        <f t="shared" si="2"/>
        <v>1.0999999999999999E-2</v>
      </c>
      <c r="J31" s="16">
        <f>ROUND(G31/3964-1,2)</f>
        <v>0.05</v>
      </c>
    </row>
    <row r="32" spans="1:10" x14ac:dyDescent="0.25">
      <c r="A32" s="1" t="s">
        <v>16</v>
      </c>
      <c r="B32" s="1" t="s">
        <v>32</v>
      </c>
      <c r="C32" s="11"/>
      <c r="D32" s="11"/>
      <c r="E32" s="11"/>
      <c r="F32" s="11"/>
      <c r="G32" s="11">
        <f t="shared" si="0"/>
        <v>0</v>
      </c>
      <c r="H32" s="17">
        <f t="shared" si="1"/>
        <v>0</v>
      </c>
      <c r="I32" s="16">
        <f t="shared" si="2"/>
        <v>0</v>
      </c>
      <c r="J32" s="16">
        <f>ROUND(G32/287-1,2)</f>
        <v>-1</v>
      </c>
    </row>
    <row r="33" spans="1:10" x14ac:dyDescent="0.25">
      <c r="A33" s="1" t="s">
        <v>16</v>
      </c>
      <c r="B33" s="1" t="s">
        <v>36</v>
      </c>
      <c r="C33" s="11"/>
      <c r="D33" s="11"/>
      <c r="E33" s="11"/>
      <c r="F33" s="11"/>
      <c r="G33" s="11">
        <f t="shared" si="0"/>
        <v>0</v>
      </c>
      <c r="H33" s="17">
        <f t="shared" si="1"/>
        <v>0</v>
      </c>
      <c r="I33" s="16">
        <f t="shared" si="2"/>
        <v>0</v>
      </c>
      <c r="J33" s="16">
        <f>ROUND(G33/120-1,2)</f>
        <v>-1</v>
      </c>
    </row>
    <row r="34" spans="1:10" x14ac:dyDescent="0.25">
      <c r="A34" s="1" t="s">
        <v>16</v>
      </c>
      <c r="B34" s="1" t="s">
        <v>121</v>
      </c>
      <c r="C34" s="11"/>
      <c r="D34" s="11"/>
      <c r="E34" s="11"/>
      <c r="F34" s="11"/>
      <c r="G34" s="11">
        <f t="shared" si="0"/>
        <v>0</v>
      </c>
      <c r="H34" s="17">
        <f t="shared" si="1"/>
        <v>0</v>
      </c>
      <c r="I34" s="16">
        <f t="shared" si="2"/>
        <v>0</v>
      </c>
      <c r="J34" s="16"/>
    </row>
    <row r="35" spans="1:10" x14ac:dyDescent="0.25">
      <c r="A35" s="1" t="s">
        <v>16</v>
      </c>
      <c r="B35" s="1" t="s">
        <v>41</v>
      </c>
      <c r="C35" s="11"/>
      <c r="D35" s="11"/>
      <c r="E35" s="11"/>
      <c r="F35" s="11"/>
      <c r="G35" s="11">
        <f t="shared" si="0"/>
        <v>0</v>
      </c>
      <c r="H35" s="17">
        <f t="shared" si="1"/>
        <v>0</v>
      </c>
      <c r="I35" s="16">
        <f t="shared" si="2"/>
        <v>0</v>
      </c>
      <c r="J35" s="16"/>
    </row>
    <row r="36" spans="1:10" x14ac:dyDescent="0.25">
      <c r="A36" s="1" t="s">
        <v>45</v>
      </c>
      <c r="B36" s="1" t="s">
        <v>46</v>
      </c>
      <c r="C36" s="11">
        <v>90090</v>
      </c>
      <c r="D36" s="11"/>
      <c r="E36" s="11"/>
      <c r="F36" s="11">
        <v>180</v>
      </c>
      <c r="G36" s="11">
        <f t="shared" si="0"/>
        <v>90270</v>
      </c>
      <c r="H36" s="17">
        <f t="shared" si="1"/>
        <v>109.42</v>
      </c>
      <c r="I36" s="16">
        <f t="shared" si="2"/>
        <v>0.23300000000000001</v>
      </c>
      <c r="J36" s="16">
        <f>ROUND(G36/95290-1,2)</f>
        <v>-0.05</v>
      </c>
    </row>
    <row r="37" spans="1:10" x14ac:dyDescent="0.25">
      <c r="A37" s="1" t="s">
        <v>45</v>
      </c>
      <c r="B37" s="1" t="s">
        <v>47</v>
      </c>
      <c r="C37" s="11"/>
      <c r="D37" s="11"/>
      <c r="E37" s="11">
        <v>15822</v>
      </c>
      <c r="F37" s="11"/>
      <c r="G37" s="11">
        <f t="shared" si="0"/>
        <v>15822</v>
      </c>
      <c r="H37" s="17">
        <f t="shared" si="1"/>
        <v>19.18</v>
      </c>
      <c r="I37" s="16">
        <f t="shared" si="2"/>
        <v>4.1000000000000002E-2</v>
      </c>
      <c r="J37" s="16">
        <f>ROUND(G37/16274-1,2)</f>
        <v>-0.03</v>
      </c>
    </row>
    <row r="38" spans="1:10" x14ac:dyDescent="0.25">
      <c r="A38" s="1" t="s">
        <v>45</v>
      </c>
      <c r="B38" s="1" t="s">
        <v>48</v>
      </c>
      <c r="C38" s="11"/>
      <c r="D38" s="11"/>
      <c r="E38" s="11"/>
      <c r="F38" s="11"/>
      <c r="G38" s="11">
        <f t="shared" si="0"/>
        <v>0</v>
      </c>
      <c r="H38" s="17">
        <f t="shared" si="1"/>
        <v>0</v>
      </c>
      <c r="I38" s="16">
        <f t="shared" si="2"/>
        <v>0</v>
      </c>
      <c r="J38" s="16"/>
    </row>
    <row r="39" spans="1:10" x14ac:dyDescent="0.25">
      <c r="A39" s="1" t="s">
        <v>49</v>
      </c>
      <c r="B39" s="1" t="s">
        <v>52</v>
      </c>
      <c r="C39" s="11"/>
      <c r="D39" s="11"/>
      <c r="E39" s="11"/>
      <c r="F39" s="11"/>
      <c r="G39" s="11">
        <f t="shared" si="0"/>
        <v>0</v>
      </c>
      <c r="H39" s="17">
        <f t="shared" si="1"/>
        <v>0</v>
      </c>
      <c r="I39" s="16">
        <f t="shared" si="2"/>
        <v>0</v>
      </c>
      <c r="J39" s="16"/>
    </row>
    <row r="40" spans="1:10" x14ac:dyDescent="0.25">
      <c r="A40" s="26" t="s">
        <v>12</v>
      </c>
      <c r="B40" s="26"/>
      <c r="C40" s="12">
        <f t="shared" ref="C40:H40" si="3">SUM(C8:C39)</f>
        <v>228060</v>
      </c>
      <c r="D40" s="12">
        <f t="shared" si="3"/>
        <v>1980</v>
      </c>
      <c r="E40" s="12">
        <f t="shared" si="3"/>
        <v>156495</v>
      </c>
      <c r="F40" s="12">
        <f t="shared" si="3"/>
        <v>180</v>
      </c>
      <c r="G40" s="12">
        <f t="shared" si="3"/>
        <v>386715</v>
      </c>
      <c r="H40" s="15">
        <f t="shared" si="3"/>
        <v>468.75000000000006</v>
      </c>
      <c r="I40" s="18"/>
      <c r="J40" s="18"/>
    </row>
    <row r="41" spans="1:10" x14ac:dyDescent="0.25">
      <c r="A41" s="26" t="s">
        <v>14</v>
      </c>
      <c r="B41" s="26"/>
      <c r="C41" s="13">
        <f>ROUND(C40/G40,2)</f>
        <v>0.59</v>
      </c>
      <c r="D41" s="13">
        <f>ROUND(D40/G40,2)</f>
        <v>0.01</v>
      </c>
      <c r="E41" s="13">
        <f>ROUND(E40/G40,2)</f>
        <v>0.4</v>
      </c>
      <c r="F41" s="13">
        <f>ROUND(F40/G40,2)</f>
        <v>0</v>
      </c>
      <c r="G41" s="14"/>
      <c r="H41" s="14"/>
      <c r="I41" s="18"/>
      <c r="J41" s="18"/>
    </row>
    <row r="42" spans="1:10" x14ac:dyDescent="0.25">
      <c r="A42" s="2" t="s">
        <v>53</v>
      </c>
      <c r="B42" s="2"/>
      <c r="C42" s="14"/>
      <c r="D42" s="14"/>
      <c r="E42" s="14"/>
      <c r="F42" s="14"/>
      <c r="G42" s="14"/>
      <c r="H42" s="14"/>
      <c r="I42" s="18"/>
      <c r="J42" s="18"/>
    </row>
    <row r="43" spans="1:10" x14ac:dyDescent="0.25">
      <c r="C43" s="9"/>
      <c r="D43" s="9"/>
      <c r="E43" s="9"/>
      <c r="F43" s="9"/>
      <c r="G43" s="9"/>
      <c r="H43" s="9"/>
      <c r="I43" s="10"/>
      <c r="J43" s="10"/>
    </row>
    <row r="44" spans="1:10" x14ac:dyDescent="0.25">
      <c r="C44" s="9"/>
      <c r="D44" s="9"/>
      <c r="E44" s="9"/>
      <c r="F44" s="9"/>
      <c r="G44" s="9"/>
      <c r="H44" s="9"/>
      <c r="I44" s="10"/>
      <c r="J44" s="10"/>
    </row>
    <row r="45" spans="1:10" x14ac:dyDescent="0.25">
      <c r="C45" s="9"/>
      <c r="D45" s="9"/>
      <c r="E45" s="9"/>
      <c r="F45" s="9"/>
      <c r="G45" s="9"/>
      <c r="H45" s="9"/>
      <c r="I45" s="10"/>
      <c r="J45" s="10"/>
    </row>
    <row r="46" spans="1:10" x14ac:dyDescent="0.25">
      <c r="A46" s="26" t="s">
        <v>54</v>
      </c>
      <c r="B46" s="26"/>
      <c r="C46" s="12" t="s">
        <v>8</v>
      </c>
      <c r="D46" s="12" t="s">
        <v>9</v>
      </c>
      <c r="E46" s="12" t="s">
        <v>10</v>
      </c>
      <c r="F46" s="12" t="s">
        <v>11</v>
      </c>
      <c r="G46" s="12" t="s">
        <v>12</v>
      </c>
      <c r="H46" s="15" t="s">
        <v>13</v>
      </c>
      <c r="I46" s="18"/>
      <c r="J46" s="18"/>
    </row>
    <row r="47" spans="1:10" x14ac:dyDescent="0.25">
      <c r="A47" s="21" t="s">
        <v>55</v>
      </c>
      <c r="B47" s="21"/>
      <c r="C47" s="11">
        <v>137970</v>
      </c>
      <c r="D47" s="11">
        <v>1980</v>
      </c>
      <c r="E47" s="11">
        <v>140673</v>
      </c>
      <c r="F47" s="11">
        <v>0</v>
      </c>
      <c r="G47" s="11">
        <f>SUM(C47:F47)</f>
        <v>280623</v>
      </c>
      <c r="H47" s="17">
        <f>ROUND(G47/825,2)</f>
        <v>340.15</v>
      </c>
      <c r="I47" s="10"/>
      <c r="J47" s="10"/>
    </row>
    <row r="48" spans="1:10" x14ac:dyDescent="0.25">
      <c r="A48" s="21" t="s">
        <v>56</v>
      </c>
      <c r="B48" s="21"/>
      <c r="C48" s="11">
        <v>90090</v>
      </c>
      <c r="D48" s="11">
        <v>0</v>
      </c>
      <c r="E48" s="11">
        <v>15822</v>
      </c>
      <c r="F48" s="11">
        <v>180</v>
      </c>
      <c r="G48" s="11">
        <f>SUM(C48:F48)</f>
        <v>106092</v>
      </c>
      <c r="H48" s="17">
        <f>ROUND(G48/825,2)</f>
        <v>128.6</v>
      </c>
      <c r="I48" s="10"/>
      <c r="J48" s="10"/>
    </row>
    <row r="49" spans="1:10" x14ac:dyDescent="0.25">
      <c r="A49" s="21" t="s">
        <v>57</v>
      </c>
      <c r="B49" s="21"/>
      <c r="C49" s="11">
        <v>0</v>
      </c>
      <c r="D49" s="11">
        <v>0</v>
      </c>
      <c r="E49" s="11">
        <v>0</v>
      </c>
      <c r="F49" s="11">
        <v>0</v>
      </c>
      <c r="G49" s="11">
        <f>SUM(C49:F49)</f>
        <v>0</v>
      </c>
      <c r="H49" s="17">
        <f>ROUND(G49/825,2)</f>
        <v>0</v>
      </c>
      <c r="I49" s="10"/>
      <c r="J49" s="10"/>
    </row>
    <row r="50" spans="1:10" x14ac:dyDescent="0.25">
      <c r="C50" s="9"/>
      <c r="D50" s="9"/>
      <c r="E50" s="9"/>
      <c r="F50" s="9"/>
      <c r="G50" s="9"/>
      <c r="H50" s="9"/>
      <c r="I50" s="10"/>
      <c r="J50" s="10"/>
    </row>
    <row r="51" spans="1:10" x14ac:dyDescent="0.25">
      <c r="C51" s="9"/>
      <c r="D51" s="9"/>
      <c r="E51" s="9"/>
      <c r="F51" s="9"/>
      <c r="G51" s="9"/>
      <c r="H51" s="9"/>
      <c r="I51" s="10"/>
      <c r="J51" s="10"/>
    </row>
    <row r="52" spans="1:10" x14ac:dyDescent="0.25">
      <c r="C52" s="9"/>
      <c r="D52" s="9"/>
      <c r="E52" s="9"/>
      <c r="F52" s="9"/>
      <c r="G52" s="9"/>
      <c r="H52" s="9"/>
      <c r="I52" s="10"/>
      <c r="J52" s="10"/>
    </row>
    <row r="53" spans="1:10" x14ac:dyDescent="0.25">
      <c r="C53" s="9"/>
      <c r="D53" s="9"/>
      <c r="E53" s="9"/>
      <c r="F53" s="9"/>
      <c r="G53" s="9"/>
      <c r="H53" s="9"/>
      <c r="I53" s="10"/>
      <c r="J53" s="10"/>
    </row>
    <row r="54" spans="1:10" x14ac:dyDescent="0.25">
      <c r="A54" s="26" t="s">
        <v>58</v>
      </c>
      <c r="B54" s="26"/>
      <c r="C54" s="15" t="s">
        <v>2</v>
      </c>
      <c r="D54" s="15">
        <v>2024</v>
      </c>
      <c r="E54" s="15" t="s">
        <v>60</v>
      </c>
      <c r="F54" s="14"/>
      <c r="G54" s="15" t="s">
        <v>61</v>
      </c>
      <c r="H54" s="15" t="s">
        <v>2</v>
      </c>
      <c r="I54" s="13" t="s">
        <v>62</v>
      </c>
      <c r="J54" s="13" t="s">
        <v>60</v>
      </c>
    </row>
    <row r="55" spans="1:10" x14ac:dyDescent="0.25">
      <c r="A55" s="21" t="s">
        <v>59</v>
      </c>
      <c r="B55" s="21"/>
      <c r="C55" s="16">
        <f>ROUND(0.7191, 4)</f>
        <v>0.71909999999999996</v>
      </c>
      <c r="D55" s="16">
        <f>ROUND(0.7091, 4)</f>
        <v>0.70909999999999995</v>
      </c>
      <c r="E55" s="16">
        <f>ROUND(0.7856, 4)</f>
        <v>0.78559999999999997</v>
      </c>
      <c r="F55" s="9"/>
      <c r="G55" s="15" t="s">
        <v>63</v>
      </c>
      <c r="H55" s="27" t="s">
        <v>64</v>
      </c>
      <c r="I55" s="24" t="s">
        <v>65</v>
      </c>
      <c r="J55" s="24" t="s">
        <v>66</v>
      </c>
    </row>
    <row r="56" spans="1:10" x14ac:dyDescent="0.25">
      <c r="A56" s="21" t="s">
        <v>67</v>
      </c>
      <c r="B56" s="21"/>
      <c r="C56" s="16">
        <f>ROUND(0.7191, 4)</f>
        <v>0.71909999999999996</v>
      </c>
      <c r="D56" s="16">
        <f>ROUND(0.6748, 4)</f>
        <v>0.67479999999999996</v>
      </c>
      <c r="E56" s="16">
        <f>ROUND(0.7702, 4)</f>
        <v>0.7702</v>
      </c>
      <c r="F56" s="9"/>
      <c r="G56" s="15" t="s">
        <v>68</v>
      </c>
      <c r="H56" s="28"/>
      <c r="I56" s="25"/>
      <c r="J56" s="25"/>
    </row>
    <row r="57" spans="1:10" x14ac:dyDescent="0.25">
      <c r="C57" s="9"/>
      <c r="D57" s="9"/>
      <c r="E57" s="9"/>
      <c r="F57" s="9"/>
      <c r="G57" s="9"/>
      <c r="H57" s="9"/>
      <c r="I57" s="10"/>
      <c r="J57" s="10"/>
    </row>
    <row r="58" spans="1:10" x14ac:dyDescent="0.25">
      <c r="C58" s="9"/>
      <c r="D58" s="9"/>
      <c r="E58" s="9"/>
      <c r="F58" s="9"/>
      <c r="G58" s="9"/>
      <c r="H58" s="9"/>
      <c r="I58" s="10"/>
      <c r="J58" s="10"/>
    </row>
    <row r="59" spans="1:10" x14ac:dyDescent="0.25">
      <c r="C59" s="9"/>
      <c r="D59" s="9"/>
      <c r="E59" s="9"/>
      <c r="F59" s="9"/>
      <c r="G59" s="9"/>
      <c r="H59" s="9"/>
      <c r="I59" s="10"/>
      <c r="J59" s="10"/>
    </row>
    <row r="60" spans="1:10" x14ac:dyDescent="0.25">
      <c r="A60" s="26" t="s">
        <v>69</v>
      </c>
      <c r="B60" s="26"/>
      <c r="C60" s="15" t="s">
        <v>2</v>
      </c>
      <c r="D60" s="15" t="s">
        <v>261</v>
      </c>
      <c r="E60" s="15" t="s">
        <v>71</v>
      </c>
      <c r="F60" s="15" t="s">
        <v>72</v>
      </c>
      <c r="G60" s="15" t="s">
        <v>73</v>
      </c>
      <c r="H60" s="14"/>
      <c r="I60" s="18"/>
      <c r="J60" s="18"/>
    </row>
    <row r="61" spans="1:10" x14ac:dyDescent="0.25">
      <c r="A61" s="21" t="s">
        <v>74</v>
      </c>
      <c r="B61" s="21"/>
      <c r="C61" s="17">
        <v>109.42</v>
      </c>
      <c r="D61" s="17">
        <v>103.62</v>
      </c>
      <c r="E61" s="17">
        <v>96.15</v>
      </c>
      <c r="F61" s="17">
        <v>57.94</v>
      </c>
      <c r="G61" s="17">
        <f>12/12*C61</f>
        <v>109.42</v>
      </c>
      <c r="H61" s="9"/>
      <c r="I61" s="10"/>
      <c r="J61" s="10"/>
    </row>
    <row r="62" spans="1:10" x14ac:dyDescent="0.25">
      <c r="A62" s="21" t="s">
        <v>75</v>
      </c>
      <c r="B62" s="21"/>
      <c r="C62" s="17">
        <v>47.08</v>
      </c>
      <c r="D62" s="17">
        <v>49.52</v>
      </c>
      <c r="E62" s="17">
        <v>62.28</v>
      </c>
      <c r="F62" s="17">
        <v>66.599999999999994</v>
      </c>
      <c r="G62" s="17">
        <f>12/12*C62</f>
        <v>47.08</v>
      </c>
      <c r="H62" s="9"/>
      <c r="I62" s="10"/>
      <c r="J62" s="10"/>
    </row>
    <row r="63" spans="1:10" x14ac:dyDescent="0.25">
      <c r="A63" s="21" t="s">
        <v>76</v>
      </c>
      <c r="B63" s="21"/>
      <c r="C63" s="17">
        <v>340.15</v>
      </c>
      <c r="D63" s="17">
        <v>280.83</v>
      </c>
      <c r="E63" s="17">
        <v>300.02</v>
      </c>
      <c r="F63" s="17">
        <v>295.08</v>
      </c>
      <c r="G63" s="17">
        <f>12/12*C63</f>
        <v>340.15</v>
      </c>
      <c r="H63" s="9"/>
      <c r="I63" s="10"/>
      <c r="J63" s="10"/>
    </row>
    <row r="64" spans="1:10" x14ac:dyDescent="0.25">
      <c r="A64" s="21" t="s">
        <v>77</v>
      </c>
      <c r="B64" s="21"/>
      <c r="C64" s="17">
        <v>128.6</v>
      </c>
      <c r="D64" s="17">
        <v>120.93</v>
      </c>
      <c r="E64" s="17">
        <v>120.96</v>
      </c>
      <c r="F64" s="17">
        <v>83.12</v>
      </c>
      <c r="G64" s="17">
        <f>12/12*C64</f>
        <v>128.6</v>
      </c>
      <c r="H64" s="9"/>
      <c r="I64" s="10"/>
      <c r="J64" s="10"/>
    </row>
    <row r="65" spans="1:10" x14ac:dyDescent="0.25">
      <c r="C65" s="9"/>
      <c r="D65" s="9"/>
      <c r="E65" s="9"/>
      <c r="F65" s="9"/>
      <c r="G65" s="9"/>
      <c r="H65" s="9"/>
      <c r="I65" s="10"/>
      <c r="J65" s="10"/>
    </row>
    <row r="66" spans="1:10" x14ac:dyDescent="0.25">
      <c r="C66" s="9"/>
      <c r="D66" s="9"/>
      <c r="E66" s="9"/>
      <c r="F66" s="9"/>
      <c r="G66" s="9"/>
      <c r="H66" s="9"/>
      <c r="I66" s="10"/>
      <c r="J66" s="10"/>
    </row>
    <row r="67" spans="1:10" x14ac:dyDescent="0.25">
      <c r="A67" s="22" t="s">
        <v>61</v>
      </c>
      <c r="B67" s="23"/>
      <c r="C67" s="9"/>
      <c r="D67" s="9"/>
      <c r="E67" s="9"/>
      <c r="F67" s="9"/>
      <c r="G67" s="9"/>
      <c r="H67" s="9"/>
      <c r="I67" s="10"/>
      <c r="J67" s="10"/>
    </row>
    <row r="68" spans="1:10" x14ac:dyDescent="0.25">
      <c r="A68" s="3" t="s">
        <v>78</v>
      </c>
      <c r="B68" s="1" t="s">
        <v>262</v>
      </c>
      <c r="C68" s="9"/>
      <c r="D68" s="9"/>
      <c r="E68" s="9"/>
      <c r="F68" s="9"/>
      <c r="G68" s="9"/>
      <c r="H68" s="9"/>
      <c r="I68" s="10"/>
      <c r="J68" s="10"/>
    </row>
    <row r="69" spans="1:10" x14ac:dyDescent="0.25">
      <c r="A69" s="3" t="s">
        <v>71</v>
      </c>
      <c r="B69" s="1" t="s">
        <v>80</v>
      </c>
      <c r="C69" s="9"/>
      <c r="D69" s="9"/>
      <c r="E69" s="9"/>
      <c r="F69" s="9"/>
      <c r="G69" s="9"/>
      <c r="H69" s="9"/>
      <c r="I69" s="10"/>
      <c r="J69" s="10"/>
    </row>
    <row r="70" spans="1:10" x14ac:dyDescent="0.25">
      <c r="A70" s="3" t="s">
        <v>72</v>
      </c>
      <c r="B70" s="1" t="s">
        <v>81</v>
      </c>
      <c r="C70" s="9"/>
      <c r="D70" s="9"/>
      <c r="E70" s="9"/>
      <c r="F70" s="9"/>
      <c r="G70" s="9"/>
      <c r="H70" s="9"/>
      <c r="I70" s="10"/>
      <c r="J70" s="10"/>
    </row>
    <row r="71" spans="1:10" x14ac:dyDescent="0.25">
      <c r="A71" s="3" t="s">
        <v>73</v>
      </c>
      <c r="B71" s="1" t="s">
        <v>82</v>
      </c>
      <c r="C71" s="9"/>
      <c r="D71" s="9"/>
      <c r="E71" s="9"/>
      <c r="F71" s="9"/>
      <c r="G71" s="9"/>
      <c r="H71" s="9"/>
      <c r="I71" s="10"/>
      <c r="J71" s="10"/>
    </row>
    <row r="72" spans="1:10" x14ac:dyDescent="0.25">
      <c r="C72" s="9"/>
      <c r="D72" s="9"/>
      <c r="E72" s="9"/>
      <c r="F72" s="9"/>
      <c r="G72" s="9"/>
      <c r="H72" s="9"/>
      <c r="I72" s="10"/>
      <c r="J72" s="10"/>
    </row>
    <row r="73" spans="1:10" x14ac:dyDescent="0.25">
      <c r="C73" s="9"/>
      <c r="D73" s="9"/>
      <c r="E73" s="9"/>
      <c r="F73" s="9"/>
      <c r="G73" s="9"/>
      <c r="H73" s="9"/>
      <c r="I73" s="10"/>
      <c r="J73" s="10"/>
    </row>
    <row r="74" spans="1:10" x14ac:dyDescent="0.25">
      <c r="C74" s="9"/>
      <c r="D74" s="9"/>
      <c r="E74" s="9"/>
      <c r="F74" s="9"/>
      <c r="G74" s="9"/>
      <c r="H74" s="9"/>
      <c r="I74" s="10"/>
      <c r="J74" s="10"/>
    </row>
  </sheetData>
  <mergeCells count="19">
    <mergeCell ref="C7:G7"/>
    <mergeCell ref="A40:B40"/>
    <mergeCell ref="A41:B41"/>
    <mergeCell ref="A46:B46"/>
    <mergeCell ref="A47:B47"/>
    <mergeCell ref="J55:J56"/>
    <mergeCell ref="A56:B56"/>
    <mergeCell ref="A60:B60"/>
    <mergeCell ref="A61:B61"/>
    <mergeCell ref="A48:B48"/>
    <mergeCell ref="A49:B49"/>
    <mergeCell ref="A54:B54"/>
    <mergeCell ref="A55:B55"/>
    <mergeCell ref="H55:H56"/>
    <mergeCell ref="A62:B62"/>
    <mergeCell ref="A63:B63"/>
    <mergeCell ref="A64:B64"/>
    <mergeCell ref="A67:B67"/>
    <mergeCell ref="I55:I5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79"/>
  <sheetViews>
    <sheetView workbookViewId="0">
      <selection activeCell="H5" sqref="H5"/>
    </sheetView>
  </sheetViews>
  <sheetFormatPr defaultRowHeight="15" x14ac:dyDescent="0.25"/>
  <cols>
    <col min="1" max="1" width="28.42578125" bestFit="1" customWidth="1"/>
    <col min="2" max="2" width="59.5703125" bestFit="1" customWidth="1"/>
    <col min="3" max="3" width="12.7109375" bestFit="1" customWidth="1"/>
    <col min="4" max="4" width="24" bestFit="1" customWidth="1"/>
    <col min="5" max="5" width="13.85546875" bestFit="1" customWidth="1"/>
    <col min="6" max="6" width="8.5703125" bestFit="1" customWidth="1"/>
    <col min="7" max="7" width="47.7109375" bestFit="1" customWidth="1"/>
    <col min="8" max="9" width="16.7109375" bestFit="1" customWidth="1"/>
    <col min="10" max="10" width="24.42578125" bestFit="1" customWidth="1"/>
  </cols>
  <sheetData>
    <row r="2" spans="1:10" ht="18.75" x14ac:dyDescent="0.3">
      <c r="A2" s="3" t="s">
        <v>0</v>
      </c>
      <c r="B2" s="4" t="s">
        <v>95</v>
      </c>
    </row>
    <row r="3" spans="1:10" x14ac:dyDescent="0.25">
      <c r="A3" s="3" t="s">
        <v>2</v>
      </c>
      <c r="B3" s="1" t="s">
        <v>3</v>
      </c>
    </row>
    <row r="4" spans="1:10" x14ac:dyDescent="0.25">
      <c r="A4" s="3" t="s">
        <v>4</v>
      </c>
      <c r="B4" s="20">
        <v>5150</v>
      </c>
    </row>
    <row r="7" spans="1:10" x14ac:dyDescent="0.25">
      <c r="C7" s="22" t="s">
        <v>5</v>
      </c>
      <c r="D7" s="21"/>
      <c r="E7" s="21"/>
      <c r="F7" s="21"/>
      <c r="G7" s="21"/>
    </row>
    <row r="8" spans="1:10" x14ac:dyDescent="0.25">
      <c r="A8" s="3" t="s">
        <v>6</v>
      </c>
      <c r="B8" s="3" t="s">
        <v>7</v>
      </c>
      <c r="C8" s="15" t="s">
        <v>8</v>
      </c>
      <c r="D8" s="15" t="s">
        <v>9</v>
      </c>
      <c r="E8" s="15" t="s">
        <v>10</v>
      </c>
      <c r="F8" s="15" t="s">
        <v>11</v>
      </c>
      <c r="G8" s="15" t="s">
        <v>12</v>
      </c>
      <c r="H8" s="15" t="s">
        <v>13</v>
      </c>
      <c r="I8" s="15" t="s">
        <v>14</v>
      </c>
      <c r="J8" s="15" t="s">
        <v>15</v>
      </c>
    </row>
    <row r="9" spans="1:10" x14ac:dyDescent="0.25">
      <c r="A9" s="1" t="s">
        <v>16</v>
      </c>
      <c r="B9" s="1" t="s">
        <v>17</v>
      </c>
      <c r="C9" s="11"/>
      <c r="D9" s="11"/>
      <c r="E9" s="11">
        <v>149</v>
      </c>
      <c r="F9" s="11"/>
      <c r="G9" s="11">
        <f t="shared" ref="G9:G47" si="0">SUM(C9:F9)</f>
        <v>149</v>
      </c>
      <c r="H9" s="17">
        <f t="shared" ref="H9:H47" si="1">ROUND(G9/5150,2)</f>
        <v>0.03</v>
      </c>
      <c r="I9" s="16">
        <f t="shared" ref="I9:I47" si="2">ROUND(G9/$G$48,3)</f>
        <v>0</v>
      </c>
      <c r="J9" s="16">
        <f>ROUND(G9/102-1,2)</f>
        <v>0.46</v>
      </c>
    </row>
    <row r="10" spans="1:10" x14ac:dyDescent="0.25">
      <c r="A10" s="1" t="s">
        <v>16</v>
      </c>
      <c r="B10" s="1" t="s">
        <v>18</v>
      </c>
      <c r="C10" s="11"/>
      <c r="D10" s="11"/>
      <c r="E10" s="11"/>
      <c r="F10" s="11">
        <v>9640</v>
      </c>
      <c r="G10" s="11">
        <f t="shared" si="0"/>
        <v>9640</v>
      </c>
      <c r="H10" s="17">
        <f t="shared" si="1"/>
        <v>1.87</v>
      </c>
      <c r="I10" s="16">
        <f t="shared" si="2"/>
        <v>4.0000000000000001E-3</v>
      </c>
      <c r="J10" s="16"/>
    </row>
    <row r="11" spans="1:10" x14ac:dyDescent="0.25">
      <c r="A11" s="1" t="s">
        <v>16</v>
      </c>
      <c r="B11" s="1" t="s">
        <v>19</v>
      </c>
      <c r="C11" s="11">
        <v>153930</v>
      </c>
      <c r="D11" s="11"/>
      <c r="E11" s="11">
        <v>10790</v>
      </c>
      <c r="F11" s="11">
        <v>180</v>
      </c>
      <c r="G11" s="11">
        <f t="shared" si="0"/>
        <v>164900</v>
      </c>
      <c r="H11" s="17">
        <f t="shared" si="1"/>
        <v>32.020000000000003</v>
      </c>
      <c r="I11" s="16">
        <f t="shared" si="2"/>
        <v>6.9000000000000006E-2</v>
      </c>
      <c r="J11" s="16">
        <f>ROUND(G11/167860-1,2)</f>
        <v>-0.02</v>
      </c>
    </row>
    <row r="12" spans="1:10" x14ac:dyDescent="0.25">
      <c r="A12" s="1" t="s">
        <v>16</v>
      </c>
      <c r="B12" s="1" t="s">
        <v>20</v>
      </c>
      <c r="C12" s="11">
        <v>209470</v>
      </c>
      <c r="D12" s="11">
        <v>330</v>
      </c>
      <c r="E12" s="11"/>
      <c r="F12" s="11"/>
      <c r="G12" s="11">
        <f t="shared" si="0"/>
        <v>209800</v>
      </c>
      <c r="H12" s="17">
        <f t="shared" si="1"/>
        <v>40.74</v>
      </c>
      <c r="I12" s="16">
        <f t="shared" si="2"/>
        <v>8.7999999999999995E-2</v>
      </c>
      <c r="J12" s="16">
        <f>ROUND(G12/208420-1,2)</f>
        <v>0.01</v>
      </c>
    </row>
    <row r="13" spans="1:10" x14ac:dyDescent="0.25">
      <c r="A13" s="1" t="s">
        <v>16</v>
      </c>
      <c r="B13" s="1" t="s">
        <v>87</v>
      </c>
      <c r="C13" s="11"/>
      <c r="D13" s="11"/>
      <c r="E13" s="11">
        <v>351</v>
      </c>
      <c r="F13" s="11"/>
      <c r="G13" s="11">
        <f t="shared" si="0"/>
        <v>351</v>
      </c>
      <c r="H13" s="17">
        <f t="shared" si="1"/>
        <v>7.0000000000000007E-2</v>
      </c>
      <c r="I13" s="16">
        <f t="shared" si="2"/>
        <v>0</v>
      </c>
      <c r="J13" s="16">
        <f>ROUND(G13/369-1,2)</f>
        <v>-0.05</v>
      </c>
    </row>
    <row r="14" spans="1:10" x14ac:dyDescent="0.25">
      <c r="A14" s="1" t="s">
        <v>16</v>
      </c>
      <c r="B14" s="1" t="s">
        <v>21</v>
      </c>
      <c r="C14" s="11"/>
      <c r="D14" s="11"/>
      <c r="E14" s="11">
        <v>545</v>
      </c>
      <c r="F14" s="11"/>
      <c r="G14" s="11">
        <f t="shared" si="0"/>
        <v>545</v>
      </c>
      <c r="H14" s="17">
        <f t="shared" si="1"/>
        <v>0.11</v>
      </c>
      <c r="I14" s="16">
        <f t="shared" si="2"/>
        <v>0</v>
      </c>
      <c r="J14" s="16">
        <f>ROUND(G14/577-1,2)</f>
        <v>-0.06</v>
      </c>
    </row>
    <row r="15" spans="1:10" x14ac:dyDescent="0.25">
      <c r="A15" s="1" t="s">
        <v>16</v>
      </c>
      <c r="B15" s="1" t="s">
        <v>22</v>
      </c>
      <c r="C15" s="11"/>
      <c r="D15" s="11"/>
      <c r="E15" s="11">
        <v>4100</v>
      </c>
      <c r="F15" s="11"/>
      <c r="G15" s="11">
        <f t="shared" si="0"/>
        <v>4100</v>
      </c>
      <c r="H15" s="17">
        <f t="shared" si="1"/>
        <v>0.8</v>
      </c>
      <c r="I15" s="16">
        <f t="shared" si="2"/>
        <v>2E-3</v>
      </c>
      <c r="J15" s="16">
        <f>ROUND(G15/4200-1,2)</f>
        <v>-0.02</v>
      </c>
    </row>
    <row r="16" spans="1:10" x14ac:dyDescent="0.25">
      <c r="A16" s="1" t="s">
        <v>16</v>
      </c>
      <c r="B16" s="1" t="s">
        <v>23</v>
      </c>
      <c r="C16" s="11"/>
      <c r="D16" s="11"/>
      <c r="E16" s="11">
        <v>223660</v>
      </c>
      <c r="F16" s="11"/>
      <c r="G16" s="11">
        <f t="shared" si="0"/>
        <v>223660</v>
      </c>
      <c r="H16" s="17">
        <f t="shared" si="1"/>
        <v>43.43</v>
      </c>
      <c r="I16" s="16">
        <f t="shared" si="2"/>
        <v>9.4E-2</v>
      </c>
      <c r="J16" s="16">
        <f>ROUND(G16/211540-1,2)</f>
        <v>0.06</v>
      </c>
    </row>
    <row r="17" spans="1:10" x14ac:dyDescent="0.25">
      <c r="A17" s="1" t="s">
        <v>16</v>
      </c>
      <c r="B17" s="1" t="s">
        <v>24</v>
      </c>
      <c r="C17" s="11">
        <v>186990</v>
      </c>
      <c r="D17" s="11"/>
      <c r="E17" s="11">
        <v>35400</v>
      </c>
      <c r="F17" s="11">
        <v>150</v>
      </c>
      <c r="G17" s="11">
        <f t="shared" si="0"/>
        <v>222540</v>
      </c>
      <c r="H17" s="17">
        <f t="shared" si="1"/>
        <v>43.21</v>
      </c>
      <c r="I17" s="16">
        <f t="shared" si="2"/>
        <v>9.2999999999999999E-2</v>
      </c>
      <c r="J17" s="16">
        <f>ROUND(G17/214540-1,2)</f>
        <v>0.04</v>
      </c>
    </row>
    <row r="18" spans="1:10" x14ac:dyDescent="0.25">
      <c r="A18" s="1" t="s">
        <v>16</v>
      </c>
      <c r="B18" s="1" t="s">
        <v>25</v>
      </c>
      <c r="C18" s="11"/>
      <c r="D18" s="11"/>
      <c r="E18" s="11">
        <v>14405</v>
      </c>
      <c r="F18" s="11"/>
      <c r="G18" s="11">
        <f t="shared" si="0"/>
        <v>14405</v>
      </c>
      <c r="H18" s="17">
        <f t="shared" si="1"/>
        <v>2.8</v>
      </c>
      <c r="I18" s="16">
        <f t="shared" si="2"/>
        <v>6.0000000000000001E-3</v>
      </c>
      <c r="J18" s="16">
        <f>ROUND(G18/11630-1,2)</f>
        <v>0.24</v>
      </c>
    </row>
    <row r="19" spans="1:10" x14ac:dyDescent="0.25">
      <c r="A19" s="1" t="s">
        <v>16</v>
      </c>
      <c r="B19" s="1" t="s">
        <v>26</v>
      </c>
      <c r="C19" s="11">
        <v>254760</v>
      </c>
      <c r="D19" s="11"/>
      <c r="E19" s="11"/>
      <c r="F19" s="11">
        <v>1660</v>
      </c>
      <c r="G19" s="11">
        <f t="shared" si="0"/>
        <v>256420</v>
      </c>
      <c r="H19" s="17">
        <f t="shared" si="1"/>
        <v>49.79</v>
      </c>
      <c r="I19" s="16">
        <f t="shared" si="2"/>
        <v>0.108</v>
      </c>
      <c r="J19" s="16">
        <f>ROUND(G19/256740-1,2)</f>
        <v>0</v>
      </c>
    </row>
    <row r="20" spans="1:10" x14ac:dyDescent="0.25">
      <c r="A20" s="1" t="s">
        <v>16</v>
      </c>
      <c r="B20" s="1" t="s">
        <v>27</v>
      </c>
      <c r="C20" s="11"/>
      <c r="D20" s="11"/>
      <c r="E20" s="11">
        <v>3298</v>
      </c>
      <c r="F20" s="11"/>
      <c r="G20" s="11">
        <f t="shared" si="0"/>
        <v>3298</v>
      </c>
      <c r="H20" s="17">
        <f t="shared" si="1"/>
        <v>0.64</v>
      </c>
      <c r="I20" s="16">
        <f t="shared" si="2"/>
        <v>1E-3</v>
      </c>
      <c r="J20" s="16">
        <f>ROUND(G20/2794-1,2)</f>
        <v>0.18</v>
      </c>
    </row>
    <row r="21" spans="1:10" x14ac:dyDescent="0.25">
      <c r="A21" s="1" t="s">
        <v>16</v>
      </c>
      <c r="B21" s="1" t="s">
        <v>28</v>
      </c>
      <c r="C21" s="11"/>
      <c r="D21" s="11"/>
      <c r="E21" s="11">
        <v>2826</v>
      </c>
      <c r="F21" s="11"/>
      <c r="G21" s="11">
        <f t="shared" si="0"/>
        <v>2826</v>
      </c>
      <c r="H21" s="17">
        <f t="shared" si="1"/>
        <v>0.55000000000000004</v>
      </c>
      <c r="I21" s="16">
        <f t="shared" si="2"/>
        <v>1E-3</v>
      </c>
      <c r="J21" s="16">
        <f>ROUND(G21/2383-1,2)</f>
        <v>0.19</v>
      </c>
    </row>
    <row r="22" spans="1:10" x14ac:dyDescent="0.25">
      <c r="A22" s="1" t="s">
        <v>16</v>
      </c>
      <c r="B22" s="1" t="s">
        <v>29</v>
      </c>
      <c r="C22" s="11"/>
      <c r="D22" s="11"/>
      <c r="E22" s="11">
        <v>365</v>
      </c>
      <c r="F22" s="11"/>
      <c r="G22" s="11">
        <f t="shared" si="0"/>
        <v>365</v>
      </c>
      <c r="H22" s="17">
        <f t="shared" si="1"/>
        <v>7.0000000000000007E-2</v>
      </c>
      <c r="I22" s="16">
        <f t="shared" si="2"/>
        <v>0</v>
      </c>
      <c r="J22" s="16">
        <f>ROUND(G22/329-1,2)</f>
        <v>0.11</v>
      </c>
    </row>
    <row r="23" spans="1:10" x14ac:dyDescent="0.25">
      <c r="A23" s="1" t="s">
        <v>16</v>
      </c>
      <c r="B23" s="1" t="s">
        <v>30</v>
      </c>
      <c r="C23" s="11"/>
      <c r="D23" s="11"/>
      <c r="E23" s="11">
        <v>10230</v>
      </c>
      <c r="F23" s="11"/>
      <c r="G23" s="11">
        <f t="shared" si="0"/>
        <v>10230</v>
      </c>
      <c r="H23" s="17">
        <f t="shared" si="1"/>
        <v>1.99</v>
      </c>
      <c r="I23" s="16">
        <f t="shared" si="2"/>
        <v>4.0000000000000001E-3</v>
      </c>
      <c r="J23" s="16">
        <f>ROUND(G23/9570-1,2)</f>
        <v>7.0000000000000007E-2</v>
      </c>
    </row>
    <row r="24" spans="1:10" x14ac:dyDescent="0.25">
      <c r="A24" s="1" t="s">
        <v>16</v>
      </c>
      <c r="B24" s="1" t="s">
        <v>31</v>
      </c>
      <c r="C24" s="11"/>
      <c r="D24" s="11"/>
      <c r="E24" s="11">
        <v>1970</v>
      </c>
      <c r="F24" s="11"/>
      <c r="G24" s="11">
        <f t="shared" si="0"/>
        <v>1970</v>
      </c>
      <c r="H24" s="17">
        <f t="shared" si="1"/>
        <v>0.38</v>
      </c>
      <c r="I24" s="16">
        <f t="shared" si="2"/>
        <v>1E-3</v>
      </c>
      <c r="J24" s="16">
        <f>ROUND(G24/2080-1,2)</f>
        <v>-0.05</v>
      </c>
    </row>
    <row r="25" spans="1:10" x14ac:dyDescent="0.25">
      <c r="A25" s="1" t="s">
        <v>16</v>
      </c>
      <c r="B25" s="1" t="s">
        <v>32</v>
      </c>
      <c r="C25" s="11"/>
      <c r="D25" s="11"/>
      <c r="E25" s="11">
        <v>1740</v>
      </c>
      <c r="F25" s="11"/>
      <c r="G25" s="11">
        <f t="shared" si="0"/>
        <v>1740</v>
      </c>
      <c r="H25" s="17">
        <f t="shared" si="1"/>
        <v>0.34</v>
      </c>
      <c r="I25" s="16">
        <f t="shared" si="2"/>
        <v>1E-3</v>
      </c>
      <c r="J25" s="16">
        <f>ROUND(G25/1650-1,2)</f>
        <v>0.05</v>
      </c>
    </row>
    <row r="26" spans="1:10" x14ac:dyDescent="0.25">
      <c r="A26" s="1" t="s">
        <v>16</v>
      </c>
      <c r="B26" s="1" t="s">
        <v>33</v>
      </c>
      <c r="C26" s="11"/>
      <c r="D26" s="11"/>
      <c r="E26" s="11">
        <v>4906</v>
      </c>
      <c r="F26" s="11"/>
      <c r="G26" s="11">
        <f t="shared" si="0"/>
        <v>4906</v>
      </c>
      <c r="H26" s="17">
        <f t="shared" si="1"/>
        <v>0.95</v>
      </c>
      <c r="I26" s="16">
        <f t="shared" si="2"/>
        <v>2E-3</v>
      </c>
      <c r="J26" s="16">
        <f>ROUND(G26/5708-1,2)</f>
        <v>-0.14000000000000001</v>
      </c>
    </row>
    <row r="27" spans="1:10" x14ac:dyDescent="0.25">
      <c r="A27" s="1" t="s">
        <v>16</v>
      </c>
      <c r="B27" s="1" t="s">
        <v>34</v>
      </c>
      <c r="C27" s="11"/>
      <c r="D27" s="11">
        <v>93</v>
      </c>
      <c r="E27" s="11">
        <v>334</v>
      </c>
      <c r="F27" s="11"/>
      <c r="G27" s="11">
        <f t="shared" si="0"/>
        <v>427</v>
      </c>
      <c r="H27" s="17">
        <f t="shared" si="1"/>
        <v>0.08</v>
      </c>
      <c r="I27" s="16">
        <f t="shared" si="2"/>
        <v>0</v>
      </c>
      <c r="J27" s="16">
        <f>ROUND(G27/440-1,2)</f>
        <v>-0.03</v>
      </c>
    </row>
    <row r="28" spans="1:10" x14ac:dyDescent="0.25">
      <c r="A28" s="1" t="s">
        <v>16</v>
      </c>
      <c r="B28" s="1" t="s">
        <v>35</v>
      </c>
      <c r="C28" s="11"/>
      <c r="D28" s="11"/>
      <c r="E28" s="11">
        <v>1948</v>
      </c>
      <c r="F28" s="11"/>
      <c r="G28" s="11">
        <f t="shared" si="0"/>
        <v>1948</v>
      </c>
      <c r="H28" s="17">
        <f t="shared" si="1"/>
        <v>0.38</v>
      </c>
      <c r="I28" s="16">
        <f t="shared" si="2"/>
        <v>1E-3</v>
      </c>
      <c r="J28" s="16"/>
    </row>
    <row r="29" spans="1:10" x14ac:dyDescent="0.25">
      <c r="A29" s="1" t="s">
        <v>16</v>
      </c>
      <c r="B29" s="1" t="s">
        <v>36</v>
      </c>
      <c r="C29" s="11"/>
      <c r="D29" s="11"/>
      <c r="E29" s="11">
        <v>275</v>
      </c>
      <c r="F29" s="11"/>
      <c r="G29" s="11">
        <f t="shared" si="0"/>
        <v>275</v>
      </c>
      <c r="H29" s="17">
        <f t="shared" si="1"/>
        <v>0.05</v>
      </c>
      <c r="I29" s="16">
        <f t="shared" si="2"/>
        <v>0</v>
      </c>
      <c r="J29" s="16">
        <f>ROUND(G29/661-1,2)</f>
        <v>-0.57999999999999996</v>
      </c>
    </row>
    <row r="30" spans="1:10" x14ac:dyDescent="0.25">
      <c r="A30" s="1" t="s">
        <v>16</v>
      </c>
      <c r="B30" s="1" t="s">
        <v>37</v>
      </c>
      <c r="C30" s="11"/>
      <c r="D30" s="11"/>
      <c r="E30" s="11">
        <v>3240</v>
      </c>
      <c r="F30" s="11"/>
      <c r="G30" s="11">
        <f t="shared" si="0"/>
        <v>3240</v>
      </c>
      <c r="H30" s="17">
        <f t="shared" si="1"/>
        <v>0.63</v>
      </c>
      <c r="I30" s="16">
        <f t="shared" si="2"/>
        <v>1E-3</v>
      </c>
      <c r="J30" s="16">
        <f>ROUND(G30/5000-1,2)</f>
        <v>-0.35</v>
      </c>
    </row>
    <row r="31" spans="1:10" x14ac:dyDescent="0.25">
      <c r="A31" s="1" t="s">
        <v>16</v>
      </c>
      <c r="B31" s="1" t="s">
        <v>39</v>
      </c>
      <c r="C31" s="11"/>
      <c r="D31" s="11"/>
      <c r="E31" s="11">
        <v>21980</v>
      </c>
      <c r="F31" s="11"/>
      <c r="G31" s="11">
        <f t="shared" si="0"/>
        <v>21980</v>
      </c>
      <c r="H31" s="17">
        <f t="shared" si="1"/>
        <v>4.2699999999999996</v>
      </c>
      <c r="I31" s="16">
        <f t="shared" si="2"/>
        <v>8.9999999999999993E-3</v>
      </c>
      <c r="J31" s="16">
        <f>ROUND(G31/16600-1,2)</f>
        <v>0.32</v>
      </c>
    </row>
    <row r="32" spans="1:10" x14ac:dyDescent="0.25">
      <c r="A32" s="1" t="s">
        <v>16</v>
      </c>
      <c r="B32" s="1" t="s">
        <v>38</v>
      </c>
      <c r="C32" s="11"/>
      <c r="D32" s="11"/>
      <c r="E32" s="11">
        <v>9390</v>
      </c>
      <c r="F32" s="11"/>
      <c r="G32" s="11">
        <f t="shared" si="0"/>
        <v>9390</v>
      </c>
      <c r="H32" s="17">
        <f t="shared" si="1"/>
        <v>1.82</v>
      </c>
      <c r="I32" s="16">
        <f t="shared" si="2"/>
        <v>4.0000000000000001E-3</v>
      </c>
      <c r="J32" s="16">
        <f>ROUND(G32/14430-1,2)</f>
        <v>-0.35</v>
      </c>
    </row>
    <row r="33" spans="1:10" x14ac:dyDescent="0.25">
      <c r="A33" s="1" t="s">
        <v>16</v>
      </c>
      <c r="B33" s="1" t="s">
        <v>40</v>
      </c>
      <c r="C33" s="11"/>
      <c r="D33" s="11"/>
      <c r="E33" s="11">
        <v>257170</v>
      </c>
      <c r="F33" s="11"/>
      <c r="G33" s="11">
        <f t="shared" si="0"/>
        <v>257170</v>
      </c>
      <c r="H33" s="17">
        <f t="shared" si="1"/>
        <v>49.94</v>
      </c>
      <c r="I33" s="16">
        <f t="shared" si="2"/>
        <v>0.108</v>
      </c>
      <c r="J33" s="16">
        <f>ROUND(G33/223520-1,2)</f>
        <v>0.15</v>
      </c>
    </row>
    <row r="34" spans="1:10" x14ac:dyDescent="0.25">
      <c r="A34" s="1" t="s">
        <v>16</v>
      </c>
      <c r="B34" s="1" t="s">
        <v>41</v>
      </c>
      <c r="C34" s="11"/>
      <c r="D34" s="11"/>
      <c r="E34" s="11">
        <v>13260</v>
      </c>
      <c r="F34" s="11"/>
      <c r="G34" s="11">
        <f t="shared" si="0"/>
        <v>13260</v>
      </c>
      <c r="H34" s="17">
        <f t="shared" si="1"/>
        <v>2.57</v>
      </c>
      <c r="I34" s="16">
        <f t="shared" si="2"/>
        <v>6.0000000000000001E-3</v>
      </c>
      <c r="J34" s="16">
        <f>ROUND(G34/17105-1,2)</f>
        <v>-0.22</v>
      </c>
    </row>
    <row r="35" spans="1:10" x14ac:dyDescent="0.25">
      <c r="A35" s="1" t="s">
        <v>16</v>
      </c>
      <c r="B35" s="1" t="s">
        <v>42</v>
      </c>
      <c r="C35" s="11"/>
      <c r="D35" s="11"/>
      <c r="E35" s="11">
        <v>47150</v>
      </c>
      <c r="F35" s="11"/>
      <c r="G35" s="11">
        <f t="shared" si="0"/>
        <v>47150</v>
      </c>
      <c r="H35" s="17">
        <f t="shared" si="1"/>
        <v>9.16</v>
      </c>
      <c r="I35" s="16">
        <f t="shared" si="2"/>
        <v>0.02</v>
      </c>
      <c r="J35" s="16">
        <f>ROUND(G35/46880-1,2)</f>
        <v>0.01</v>
      </c>
    </row>
    <row r="36" spans="1:10" x14ac:dyDescent="0.25">
      <c r="A36" s="1" t="s">
        <v>16</v>
      </c>
      <c r="B36" s="1" t="s">
        <v>44</v>
      </c>
      <c r="C36" s="11"/>
      <c r="D36" s="11"/>
      <c r="E36" s="11">
        <v>375230</v>
      </c>
      <c r="F36" s="11">
        <v>8190</v>
      </c>
      <c r="G36" s="11">
        <f t="shared" si="0"/>
        <v>383420</v>
      </c>
      <c r="H36" s="17">
        <f t="shared" si="1"/>
        <v>74.45</v>
      </c>
      <c r="I36" s="16">
        <f t="shared" si="2"/>
        <v>0.161</v>
      </c>
      <c r="J36" s="16">
        <f>ROUND(G36/342490-1,2)</f>
        <v>0.12</v>
      </c>
    </row>
    <row r="37" spans="1:10" x14ac:dyDescent="0.25">
      <c r="A37" s="1" t="s">
        <v>16</v>
      </c>
      <c r="B37" s="1" t="s">
        <v>96</v>
      </c>
      <c r="C37" s="11"/>
      <c r="D37" s="11"/>
      <c r="E37" s="11"/>
      <c r="F37" s="11"/>
      <c r="G37" s="11">
        <f t="shared" si="0"/>
        <v>0</v>
      </c>
      <c r="H37" s="17">
        <f t="shared" si="1"/>
        <v>0</v>
      </c>
      <c r="I37" s="16">
        <f t="shared" si="2"/>
        <v>0</v>
      </c>
      <c r="J37" s="16">
        <f>ROUND(G37/820-1,2)</f>
        <v>-1</v>
      </c>
    </row>
    <row r="38" spans="1:10" x14ac:dyDescent="0.25">
      <c r="A38" s="1" t="s">
        <v>16</v>
      </c>
      <c r="B38" s="1" t="s">
        <v>97</v>
      </c>
      <c r="C38" s="11"/>
      <c r="D38" s="11"/>
      <c r="E38" s="11"/>
      <c r="F38" s="11"/>
      <c r="G38" s="11">
        <f t="shared" si="0"/>
        <v>0</v>
      </c>
      <c r="H38" s="17">
        <f t="shared" si="1"/>
        <v>0</v>
      </c>
      <c r="I38" s="16">
        <f t="shared" si="2"/>
        <v>0</v>
      </c>
      <c r="J38" s="16">
        <f>ROUND(G38/319-1,2)</f>
        <v>-1</v>
      </c>
    </row>
    <row r="39" spans="1:10" x14ac:dyDescent="0.25">
      <c r="A39" s="1" t="s">
        <v>16</v>
      </c>
      <c r="B39" s="1" t="s">
        <v>98</v>
      </c>
      <c r="C39" s="11"/>
      <c r="D39" s="11"/>
      <c r="E39" s="11"/>
      <c r="F39" s="11"/>
      <c r="G39" s="11">
        <f t="shared" si="0"/>
        <v>0</v>
      </c>
      <c r="H39" s="17">
        <f t="shared" si="1"/>
        <v>0</v>
      </c>
      <c r="I39" s="16">
        <f t="shared" si="2"/>
        <v>0</v>
      </c>
      <c r="J39" s="16">
        <f>ROUND(G39/54-1,2)</f>
        <v>-1</v>
      </c>
    </row>
    <row r="40" spans="1:10" x14ac:dyDescent="0.25">
      <c r="A40" s="1" t="s">
        <v>16</v>
      </c>
      <c r="B40" s="1" t="s">
        <v>99</v>
      </c>
      <c r="C40" s="11"/>
      <c r="D40" s="11"/>
      <c r="E40" s="11"/>
      <c r="F40" s="11"/>
      <c r="G40" s="11">
        <f t="shared" si="0"/>
        <v>0</v>
      </c>
      <c r="H40" s="17">
        <f t="shared" si="1"/>
        <v>0</v>
      </c>
      <c r="I40" s="16">
        <f t="shared" si="2"/>
        <v>0</v>
      </c>
      <c r="J40" s="16"/>
    </row>
    <row r="41" spans="1:10" x14ac:dyDescent="0.25">
      <c r="A41" s="1" t="s">
        <v>45</v>
      </c>
      <c r="B41" s="1" t="s">
        <v>46</v>
      </c>
      <c r="C41" s="11">
        <v>292270</v>
      </c>
      <c r="D41" s="11"/>
      <c r="E41" s="11"/>
      <c r="F41" s="11">
        <v>1450</v>
      </c>
      <c r="G41" s="11">
        <f t="shared" si="0"/>
        <v>293720</v>
      </c>
      <c r="H41" s="17">
        <f t="shared" si="1"/>
        <v>57.03</v>
      </c>
      <c r="I41" s="16">
        <f t="shared" si="2"/>
        <v>0.123</v>
      </c>
      <c r="J41" s="16">
        <f>ROUND(G41/276430-1,2)</f>
        <v>0.06</v>
      </c>
    </row>
    <row r="42" spans="1:10" x14ac:dyDescent="0.25">
      <c r="A42" s="1" t="s">
        <v>45</v>
      </c>
      <c r="B42" s="1" t="s">
        <v>48</v>
      </c>
      <c r="C42" s="11"/>
      <c r="D42" s="11"/>
      <c r="E42" s="11"/>
      <c r="F42" s="11">
        <v>74740</v>
      </c>
      <c r="G42" s="11">
        <f t="shared" si="0"/>
        <v>74740</v>
      </c>
      <c r="H42" s="17">
        <f t="shared" si="1"/>
        <v>14.51</v>
      </c>
      <c r="I42" s="16">
        <f t="shared" si="2"/>
        <v>3.1E-2</v>
      </c>
      <c r="J42" s="16">
        <f>ROUND(G42/34220-1,2)</f>
        <v>1.18</v>
      </c>
    </row>
    <row r="43" spans="1:10" x14ac:dyDescent="0.25">
      <c r="A43" s="1" t="s">
        <v>45</v>
      </c>
      <c r="B43" s="1" t="s">
        <v>47</v>
      </c>
      <c r="C43" s="11"/>
      <c r="D43" s="11"/>
      <c r="E43" s="11">
        <v>143700</v>
      </c>
      <c r="F43" s="11"/>
      <c r="G43" s="11">
        <f t="shared" si="0"/>
        <v>143700</v>
      </c>
      <c r="H43" s="17">
        <f t="shared" si="1"/>
        <v>27.9</v>
      </c>
      <c r="I43" s="16">
        <f t="shared" si="2"/>
        <v>0.06</v>
      </c>
      <c r="J43" s="16">
        <f>ROUND(G43/133990-1,2)</f>
        <v>7.0000000000000007E-2</v>
      </c>
    </row>
    <row r="44" spans="1:10" x14ac:dyDescent="0.25">
      <c r="A44" s="1" t="s">
        <v>49</v>
      </c>
      <c r="B44" s="1" t="s">
        <v>52</v>
      </c>
      <c r="C44" s="11"/>
      <c r="D44" s="11"/>
      <c r="E44" s="11"/>
      <c r="F44" s="11"/>
      <c r="G44" s="11">
        <f t="shared" si="0"/>
        <v>0</v>
      </c>
      <c r="H44" s="17">
        <f t="shared" si="1"/>
        <v>0</v>
      </c>
      <c r="I44" s="16">
        <f t="shared" si="2"/>
        <v>0</v>
      </c>
      <c r="J44" s="16"/>
    </row>
    <row r="45" spans="1:10" x14ac:dyDescent="0.25">
      <c r="A45" s="1" t="s">
        <v>49</v>
      </c>
      <c r="B45" s="1" t="s">
        <v>51</v>
      </c>
      <c r="C45" s="11"/>
      <c r="D45" s="11"/>
      <c r="E45" s="11"/>
      <c r="F45" s="11"/>
      <c r="G45" s="11">
        <f t="shared" si="0"/>
        <v>0</v>
      </c>
      <c r="H45" s="17">
        <f t="shared" si="1"/>
        <v>0</v>
      </c>
      <c r="I45" s="16">
        <f t="shared" si="2"/>
        <v>0</v>
      </c>
      <c r="J45" s="16">
        <f>ROUND(G45/280-1,2)</f>
        <v>-1</v>
      </c>
    </row>
    <row r="46" spans="1:10" x14ac:dyDescent="0.25">
      <c r="A46" s="1" t="s">
        <v>49</v>
      </c>
      <c r="B46" s="1" t="s">
        <v>50</v>
      </c>
      <c r="C46" s="11"/>
      <c r="D46" s="11"/>
      <c r="E46" s="11"/>
      <c r="F46" s="11"/>
      <c r="G46" s="11">
        <f t="shared" si="0"/>
        <v>0</v>
      </c>
      <c r="H46" s="17">
        <f t="shared" si="1"/>
        <v>0</v>
      </c>
      <c r="I46" s="16">
        <f t="shared" si="2"/>
        <v>0</v>
      </c>
      <c r="J46" s="16">
        <f>ROUND(G46/120-1,2)</f>
        <v>-1</v>
      </c>
    </row>
    <row r="47" spans="1:10" x14ac:dyDescent="0.25">
      <c r="A47" s="1" t="s">
        <v>49</v>
      </c>
      <c r="B47" s="1" t="s">
        <v>100</v>
      </c>
      <c r="C47" s="11"/>
      <c r="D47" s="11"/>
      <c r="E47" s="11"/>
      <c r="F47" s="11"/>
      <c r="G47" s="11">
        <f t="shared" si="0"/>
        <v>0</v>
      </c>
      <c r="H47" s="17">
        <f t="shared" si="1"/>
        <v>0</v>
      </c>
      <c r="I47" s="16">
        <f t="shared" si="2"/>
        <v>0</v>
      </c>
      <c r="J47" s="16"/>
    </row>
    <row r="48" spans="1:10" x14ac:dyDescent="0.25">
      <c r="A48" s="26" t="s">
        <v>12</v>
      </c>
      <c r="B48" s="26"/>
      <c r="C48" s="12">
        <f t="shared" ref="C48:H48" si="3">SUM(C8:C47)</f>
        <v>1097420</v>
      </c>
      <c r="D48" s="12">
        <f t="shared" si="3"/>
        <v>423</v>
      </c>
      <c r="E48" s="12">
        <f t="shared" si="3"/>
        <v>1188412</v>
      </c>
      <c r="F48" s="12">
        <f t="shared" si="3"/>
        <v>96010</v>
      </c>
      <c r="G48" s="12">
        <f t="shared" si="3"/>
        <v>2382265</v>
      </c>
      <c r="H48" s="15">
        <f t="shared" si="3"/>
        <v>462.58000000000004</v>
      </c>
      <c r="I48" s="18"/>
      <c r="J48" s="18"/>
    </row>
    <row r="49" spans="1:10" x14ac:dyDescent="0.25">
      <c r="A49" s="26" t="s">
        <v>14</v>
      </c>
      <c r="B49" s="26"/>
      <c r="C49" s="13">
        <f>ROUND(C48/G48,2)</f>
        <v>0.46</v>
      </c>
      <c r="D49" s="13">
        <f>ROUND(D48/G48,2)</f>
        <v>0</v>
      </c>
      <c r="E49" s="13">
        <f>ROUND(E48/G48,2)</f>
        <v>0.5</v>
      </c>
      <c r="F49" s="13">
        <f>ROUND(F48/G48,2)</f>
        <v>0.04</v>
      </c>
      <c r="G49" s="14"/>
      <c r="H49" s="14"/>
      <c r="I49" s="18"/>
      <c r="J49" s="18"/>
    </row>
    <row r="50" spans="1:10" x14ac:dyDescent="0.25">
      <c r="A50" s="2" t="s">
        <v>53</v>
      </c>
      <c r="B50" s="2"/>
      <c r="C50" s="14"/>
      <c r="D50" s="14"/>
      <c r="E50" s="14"/>
      <c r="F50" s="14"/>
      <c r="G50" s="14"/>
      <c r="H50" s="14"/>
      <c r="I50" s="18"/>
      <c r="J50" s="18"/>
    </row>
    <row r="51" spans="1:10" x14ac:dyDescent="0.25">
      <c r="C51" s="9"/>
      <c r="D51" s="9"/>
      <c r="E51" s="9"/>
      <c r="F51" s="9"/>
      <c r="G51" s="9"/>
      <c r="H51" s="9"/>
      <c r="I51" s="10"/>
      <c r="J51" s="10"/>
    </row>
    <row r="52" spans="1:10" x14ac:dyDescent="0.25">
      <c r="C52" s="9"/>
      <c r="D52" s="9"/>
      <c r="E52" s="9"/>
      <c r="F52" s="9"/>
      <c r="G52" s="9"/>
      <c r="H52" s="9"/>
      <c r="I52" s="10"/>
      <c r="J52" s="10"/>
    </row>
    <row r="53" spans="1:10" x14ac:dyDescent="0.25">
      <c r="C53" s="9"/>
      <c r="D53" s="9"/>
      <c r="E53" s="9"/>
      <c r="F53" s="9"/>
      <c r="G53" s="9"/>
      <c r="H53" s="9"/>
      <c r="I53" s="10"/>
      <c r="J53" s="10"/>
    </row>
    <row r="54" spans="1:10" x14ac:dyDescent="0.25">
      <c r="A54" s="26" t="s">
        <v>54</v>
      </c>
      <c r="B54" s="26"/>
      <c r="C54" s="12" t="s">
        <v>8</v>
      </c>
      <c r="D54" s="12" t="s">
        <v>9</v>
      </c>
      <c r="E54" s="12" t="s">
        <v>10</v>
      </c>
      <c r="F54" s="12" t="s">
        <v>11</v>
      </c>
      <c r="G54" s="12" t="s">
        <v>12</v>
      </c>
      <c r="H54" s="15" t="s">
        <v>13</v>
      </c>
      <c r="I54" s="18"/>
      <c r="J54" s="18"/>
    </row>
    <row r="55" spans="1:10" x14ac:dyDescent="0.25">
      <c r="A55" s="21" t="s">
        <v>55</v>
      </c>
      <c r="B55" s="21"/>
      <c r="C55" s="11">
        <v>805150</v>
      </c>
      <c r="D55" s="11">
        <v>423</v>
      </c>
      <c r="E55" s="11">
        <v>1044712</v>
      </c>
      <c r="F55" s="11">
        <v>19820</v>
      </c>
      <c r="G55" s="11">
        <f>SUM(C55:F55)</f>
        <v>1870105</v>
      </c>
      <c r="H55" s="17">
        <f>ROUND(G55/5150,2)</f>
        <v>363.13</v>
      </c>
      <c r="I55" s="10"/>
      <c r="J55" s="10"/>
    </row>
    <row r="56" spans="1:10" x14ac:dyDescent="0.25">
      <c r="A56" s="21" t="s">
        <v>56</v>
      </c>
      <c r="B56" s="21"/>
      <c r="C56" s="11">
        <v>292270</v>
      </c>
      <c r="D56" s="11">
        <v>0</v>
      </c>
      <c r="E56" s="11">
        <v>143700</v>
      </c>
      <c r="F56" s="11">
        <v>76190</v>
      </c>
      <c r="G56" s="11">
        <f>SUM(C56:F56)</f>
        <v>512160</v>
      </c>
      <c r="H56" s="17">
        <f>ROUND(G56/5150,2)</f>
        <v>99.45</v>
      </c>
      <c r="I56" s="10"/>
      <c r="J56" s="10"/>
    </row>
    <row r="57" spans="1:10" x14ac:dyDescent="0.25">
      <c r="A57" s="21" t="s">
        <v>57</v>
      </c>
      <c r="B57" s="21"/>
      <c r="C57" s="11">
        <v>0</v>
      </c>
      <c r="D57" s="11">
        <v>0</v>
      </c>
      <c r="E57" s="11">
        <v>0</v>
      </c>
      <c r="F57" s="11">
        <v>0</v>
      </c>
      <c r="G57" s="11">
        <f>SUM(C57:F57)</f>
        <v>0</v>
      </c>
      <c r="H57" s="17">
        <f>ROUND(G57/5150,2)</f>
        <v>0</v>
      </c>
      <c r="I57" s="10"/>
      <c r="J57" s="10"/>
    </row>
    <row r="58" spans="1:10" x14ac:dyDescent="0.25">
      <c r="C58" s="9"/>
      <c r="D58" s="9"/>
      <c r="E58" s="9"/>
      <c r="F58" s="9"/>
      <c r="G58" s="9"/>
      <c r="H58" s="9"/>
      <c r="I58" s="10"/>
      <c r="J58" s="10"/>
    </row>
    <row r="59" spans="1:10" x14ac:dyDescent="0.25">
      <c r="C59" s="9"/>
      <c r="D59" s="9"/>
      <c r="E59" s="9"/>
      <c r="F59" s="9"/>
      <c r="G59" s="9"/>
      <c r="H59" s="9"/>
      <c r="I59" s="10"/>
      <c r="J59" s="10"/>
    </row>
    <row r="60" spans="1:10" x14ac:dyDescent="0.25">
      <c r="C60" s="9"/>
      <c r="D60" s="9"/>
      <c r="E60" s="9"/>
      <c r="F60" s="9"/>
      <c r="G60" s="9"/>
      <c r="H60" s="9"/>
      <c r="I60" s="10"/>
      <c r="J60" s="10"/>
    </row>
    <row r="61" spans="1:10" x14ac:dyDescent="0.25">
      <c r="C61" s="9"/>
      <c r="D61" s="9"/>
      <c r="E61" s="9"/>
      <c r="F61" s="9"/>
      <c r="G61" s="9"/>
      <c r="H61" s="9"/>
      <c r="I61" s="10"/>
      <c r="J61" s="10"/>
    </row>
    <row r="62" spans="1:10" x14ac:dyDescent="0.25">
      <c r="A62" s="26" t="s">
        <v>58</v>
      </c>
      <c r="B62" s="26"/>
      <c r="C62" s="15" t="s">
        <v>2</v>
      </c>
      <c r="D62" s="15">
        <v>2024</v>
      </c>
      <c r="E62" s="15" t="s">
        <v>60</v>
      </c>
      <c r="F62" s="14"/>
      <c r="G62" s="15" t="s">
        <v>61</v>
      </c>
      <c r="H62" s="15" t="s">
        <v>2</v>
      </c>
      <c r="I62" s="13" t="s">
        <v>62</v>
      </c>
      <c r="J62" s="13" t="s">
        <v>60</v>
      </c>
    </row>
    <row r="63" spans="1:10" x14ac:dyDescent="0.25">
      <c r="A63" s="21" t="s">
        <v>59</v>
      </c>
      <c r="B63" s="21"/>
      <c r="C63" s="16">
        <f>ROUND(0.8637, 4)</f>
        <v>0.86370000000000002</v>
      </c>
      <c r="D63" s="16">
        <f>ROUND(0.8547, 4)</f>
        <v>0.85470000000000002</v>
      </c>
      <c r="E63" s="16">
        <f>ROUND(0.7856, 4)</f>
        <v>0.78559999999999997</v>
      </c>
      <c r="F63" s="9"/>
      <c r="G63" s="15" t="s">
        <v>63</v>
      </c>
      <c r="H63" s="27" t="s">
        <v>64</v>
      </c>
      <c r="I63" s="24" t="s">
        <v>65</v>
      </c>
      <c r="J63" s="24" t="s">
        <v>66</v>
      </c>
    </row>
    <row r="64" spans="1:10" x14ac:dyDescent="0.25">
      <c r="A64" s="21" t="s">
        <v>67</v>
      </c>
      <c r="B64" s="21"/>
      <c r="C64" s="16">
        <f>ROUND(0.8637, 4)</f>
        <v>0.86370000000000002</v>
      </c>
      <c r="D64" s="16">
        <f>ROUND(0.8439, 4)</f>
        <v>0.84389999999999998</v>
      </c>
      <c r="E64" s="16">
        <f>ROUND(0.7702, 4)</f>
        <v>0.7702</v>
      </c>
      <c r="F64" s="9"/>
      <c r="G64" s="15" t="s">
        <v>68</v>
      </c>
      <c r="H64" s="28"/>
      <c r="I64" s="25"/>
      <c r="J64" s="25"/>
    </row>
    <row r="65" spans="1:10" x14ac:dyDescent="0.25">
      <c r="C65" s="9"/>
      <c r="D65" s="9"/>
      <c r="E65" s="9"/>
      <c r="F65" s="9"/>
      <c r="G65" s="9"/>
      <c r="H65" s="9"/>
      <c r="I65" s="10"/>
      <c r="J65" s="10"/>
    </row>
    <row r="66" spans="1:10" x14ac:dyDescent="0.25">
      <c r="C66" s="9"/>
      <c r="D66" s="9"/>
      <c r="E66" s="9"/>
      <c r="F66" s="9"/>
      <c r="G66" s="9"/>
      <c r="H66" s="9"/>
      <c r="I66" s="10"/>
      <c r="J66" s="10"/>
    </row>
    <row r="67" spans="1:10" x14ac:dyDescent="0.25">
      <c r="C67" s="9"/>
      <c r="D67" s="9"/>
      <c r="E67" s="9"/>
      <c r="F67" s="9"/>
      <c r="G67" s="9"/>
      <c r="H67" s="9"/>
      <c r="I67" s="10"/>
      <c r="J67" s="10"/>
    </row>
    <row r="68" spans="1:10" x14ac:dyDescent="0.25">
      <c r="A68" s="26" t="s">
        <v>69</v>
      </c>
      <c r="B68" s="26"/>
      <c r="C68" s="15" t="s">
        <v>2</v>
      </c>
      <c r="D68" s="15" t="s">
        <v>101</v>
      </c>
      <c r="E68" s="15" t="s">
        <v>71</v>
      </c>
      <c r="F68" s="15" t="s">
        <v>72</v>
      </c>
      <c r="G68" s="15" t="s">
        <v>73</v>
      </c>
      <c r="H68" s="14"/>
      <c r="I68" s="18"/>
      <c r="J68" s="18"/>
    </row>
    <row r="69" spans="1:10" x14ac:dyDescent="0.25">
      <c r="A69" s="21" t="s">
        <v>74</v>
      </c>
      <c r="B69" s="21"/>
      <c r="C69" s="17">
        <v>57.03</v>
      </c>
      <c r="D69" s="17">
        <v>52.72</v>
      </c>
      <c r="E69" s="17">
        <v>96.15</v>
      </c>
      <c r="F69" s="17">
        <v>57.94</v>
      </c>
      <c r="G69" s="17">
        <f>12/12*C69</f>
        <v>57.03</v>
      </c>
      <c r="H69" s="9"/>
      <c r="I69" s="10"/>
      <c r="J69" s="10"/>
    </row>
    <row r="70" spans="1:10" x14ac:dyDescent="0.25">
      <c r="A70" s="21" t="s">
        <v>75</v>
      </c>
      <c r="B70" s="21"/>
      <c r="C70" s="17">
        <v>49.79</v>
      </c>
      <c r="D70" s="17">
        <v>49.89</v>
      </c>
      <c r="E70" s="17">
        <v>62.28</v>
      </c>
      <c r="F70" s="17">
        <v>66.599999999999994</v>
      </c>
      <c r="G70" s="17">
        <f>12/12*C70</f>
        <v>49.79</v>
      </c>
      <c r="H70" s="9"/>
      <c r="I70" s="10"/>
      <c r="J70" s="10"/>
    </row>
    <row r="71" spans="1:10" x14ac:dyDescent="0.25">
      <c r="A71" s="21" t="s">
        <v>76</v>
      </c>
      <c r="B71" s="21"/>
      <c r="C71" s="17">
        <v>363.13</v>
      </c>
      <c r="D71" s="17">
        <v>341.58</v>
      </c>
      <c r="E71" s="17">
        <v>300.02</v>
      </c>
      <c r="F71" s="17">
        <v>295.08</v>
      </c>
      <c r="G71" s="17">
        <f>12/12*C71</f>
        <v>363.13</v>
      </c>
      <c r="H71" s="9"/>
      <c r="I71" s="10"/>
      <c r="J71" s="10"/>
    </row>
    <row r="72" spans="1:10" x14ac:dyDescent="0.25">
      <c r="A72" s="21" t="s">
        <v>77</v>
      </c>
      <c r="B72" s="21"/>
      <c r="C72" s="17">
        <v>99.45</v>
      </c>
      <c r="D72" s="17">
        <v>89.64</v>
      </c>
      <c r="E72" s="17">
        <v>120.96</v>
      </c>
      <c r="F72" s="17">
        <v>83.12</v>
      </c>
      <c r="G72" s="17">
        <f>12/12*C72</f>
        <v>99.45</v>
      </c>
      <c r="H72" s="9"/>
      <c r="I72" s="10"/>
      <c r="J72" s="10"/>
    </row>
    <row r="73" spans="1:10" x14ac:dyDescent="0.25">
      <c r="C73" s="9"/>
      <c r="D73" s="9"/>
      <c r="E73" s="9"/>
      <c r="F73" s="9"/>
      <c r="G73" s="9"/>
      <c r="H73" s="9"/>
      <c r="I73" s="10"/>
      <c r="J73" s="10"/>
    </row>
    <row r="75" spans="1:10" x14ac:dyDescent="0.25">
      <c r="A75" s="22" t="s">
        <v>61</v>
      </c>
      <c r="B75" s="23"/>
    </row>
    <row r="76" spans="1:10" x14ac:dyDescent="0.25">
      <c r="A76" s="3" t="s">
        <v>78</v>
      </c>
      <c r="B76" s="1" t="s">
        <v>102</v>
      </c>
    </row>
    <row r="77" spans="1:10" x14ac:dyDescent="0.25">
      <c r="A77" s="3" t="s">
        <v>71</v>
      </c>
      <c r="B77" s="1" t="s">
        <v>80</v>
      </c>
    </row>
    <row r="78" spans="1:10" x14ac:dyDescent="0.25">
      <c r="A78" s="3" t="s">
        <v>72</v>
      </c>
      <c r="B78" s="1" t="s">
        <v>81</v>
      </c>
    </row>
    <row r="79" spans="1:10" x14ac:dyDescent="0.25">
      <c r="A79" s="3" t="s">
        <v>73</v>
      </c>
      <c r="B79" s="1" t="s">
        <v>82</v>
      </c>
    </row>
  </sheetData>
  <mergeCells count="19">
    <mergeCell ref="C7:G7"/>
    <mergeCell ref="A48:B48"/>
    <mergeCell ref="A49:B49"/>
    <mergeCell ref="A54:B54"/>
    <mergeCell ref="A55:B55"/>
    <mergeCell ref="J63:J64"/>
    <mergeCell ref="A64:B64"/>
    <mergeCell ref="A68:B68"/>
    <mergeCell ref="A69:B69"/>
    <mergeCell ref="A56:B56"/>
    <mergeCell ref="A57:B57"/>
    <mergeCell ref="A62:B62"/>
    <mergeCell ref="A63:B63"/>
    <mergeCell ref="H63:H64"/>
    <mergeCell ref="A70:B70"/>
    <mergeCell ref="A71:B71"/>
    <mergeCell ref="A72:B72"/>
    <mergeCell ref="A75:B75"/>
    <mergeCell ref="I63:I64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J74"/>
  <sheetViews>
    <sheetView workbookViewId="0">
      <selection activeCell="H5" sqref="H5"/>
    </sheetView>
  </sheetViews>
  <sheetFormatPr defaultRowHeight="15" x14ac:dyDescent="0.25"/>
  <cols>
    <col min="1" max="1" width="28.42578125" bestFit="1" customWidth="1"/>
    <col min="2" max="2" width="59.5703125" bestFit="1" customWidth="1"/>
    <col min="3" max="3" width="12.7109375" bestFit="1" customWidth="1"/>
    <col min="4" max="4" width="27.7109375" bestFit="1" customWidth="1"/>
    <col min="5" max="5" width="13.85546875" bestFit="1" customWidth="1"/>
    <col min="6" max="6" width="8.5703125" bestFit="1" customWidth="1"/>
    <col min="7" max="7" width="47.7109375" bestFit="1" customWidth="1"/>
    <col min="8" max="9" width="16.7109375" bestFit="1" customWidth="1"/>
    <col min="10" max="10" width="24.42578125" bestFit="1" customWidth="1"/>
  </cols>
  <sheetData>
    <row r="2" spans="1:10" ht="18.75" x14ac:dyDescent="0.3">
      <c r="A2" s="3" t="s">
        <v>0</v>
      </c>
      <c r="B2" s="4" t="s">
        <v>263</v>
      </c>
    </row>
    <row r="3" spans="1:10" x14ac:dyDescent="0.25">
      <c r="A3" s="3" t="s">
        <v>2</v>
      </c>
      <c r="B3" s="1" t="s">
        <v>3</v>
      </c>
    </row>
    <row r="4" spans="1:10" x14ac:dyDescent="0.25">
      <c r="A4" s="3" t="s">
        <v>4</v>
      </c>
      <c r="B4" s="20">
        <v>3916</v>
      </c>
    </row>
    <row r="7" spans="1:10" x14ac:dyDescent="0.25">
      <c r="C7" s="22" t="s">
        <v>5</v>
      </c>
      <c r="D7" s="21"/>
      <c r="E7" s="21"/>
      <c r="F7" s="21"/>
      <c r="G7" s="21"/>
    </row>
    <row r="8" spans="1:10" x14ac:dyDescent="0.25">
      <c r="A8" s="3" t="s">
        <v>6</v>
      </c>
      <c r="B8" s="3" t="s">
        <v>7</v>
      </c>
      <c r="C8" s="15" t="s">
        <v>8</v>
      </c>
      <c r="D8" s="15" t="s">
        <v>9</v>
      </c>
      <c r="E8" s="15" t="s">
        <v>10</v>
      </c>
      <c r="F8" s="15" t="s">
        <v>11</v>
      </c>
      <c r="G8" s="15" t="s">
        <v>12</v>
      </c>
      <c r="H8" s="15" t="s">
        <v>13</v>
      </c>
      <c r="I8" s="15" t="s">
        <v>14</v>
      </c>
      <c r="J8" s="15" t="s">
        <v>15</v>
      </c>
    </row>
    <row r="9" spans="1:10" x14ac:dyDescent="0.25">
      <c r="A9" s="1" t="s">
        <v>16</v>
      </c>
      <c r="B9" s="1" t="s">
        <v>17</v>
      </c>
      <c r="C9" s="11"/>
      <c r="D9" s="11"/>
      <c r="E9" s="11">
        <v>123</v>
      </c>
      <c r="F9" s="11"/>
      <c r="G9" s="11">
        <f t="shared" ref="G9:G42" si="0">SUM(C9:F9)</f>
        <v>123</v>
      </c>
      <c r="H9" s="17">
        <f t="shared" ref="H9:H42" si="1">ROUND(G9/3916,2)</f>
        <v>0.03</v>
      </c>
      <c r="I9" s="16">
        <f t="shared" ref="I9:I42" si="2">ROUND(G9/$G$43,3)</f>
        <v>0</v>
      </c>
      <c r="J9" s="16">
        <f>ROUND(G9/81-1,2)</f>
        <v>0.52</v>
      </c>
    </row>
    <row r="10" spans="1:10" x14ac:dyDescent="0.25">
      <c r="A10" s="1" t="s">
        <v>16</v>
      </c>
      <c r="B10" s="1" t="s">
        <v>19</v>
      </c>
      <c r="C10" s="11">
        <v>129760</v>
      </c>
      <c r="D10" s="11"/>
      <c r="E10" s="11">
        <v>5620</v>
      </c>
      <c r="F10" s="11">
        <v>390</v>
      </c>
      <c r="G10" s="11">
        <f t="shared" si="0"/>
        <v>135770</v>
      </c>
      <c r="H10" s="17">
        <f t="shared" si="1"/>
        <v>34.67</v>
      </c>
      <c r="I10" s="16">
        <f t="shared" si="2"/>
        <v>0.10199999999999999</v>
      </c>
      <c r="J10" s="16">
        <f>ROUND(G10/137460-1,2)</f>
        <v>-0.01</v>
      </c>
    </row>
    <row r="11" spans="1:10" x14ac:dyDescent="0.25">
      <c r="A11" s="1" t="s">
        <v>16</v>
      </c>
      <c r="B11" s="1" t="s">
        <v>20</v>
      </c>
      <c r="C11" s="11">
        <v>155760</v>
      </c>
      <c r="D11" s="11">
        <v>1920</v>
      </c>
      <c r="E11" s="11"/>
      <c r="F11" s="11"/>
      <c r="G11" s="11">
        <f t="shared" si="0"/>
        <v>157680</v>
      </c>
      <c r="H11" s="17">
        <f t="shared" si="1"/>
        <v>40.270000000000003</v>
      </c>
      <c r="I11" s="16">
        <f t="shared" si="2"/>
        <v>0.11799999999999999</v>
      </c>
      <c r="J11" s="16">
        <f>ROUND(G11/159730-1,2)</f>
        <v>-0.01</v>
      </c>
    </row>
    <row r="12" spans="1:10" x14ac:dyDescent="0.25">
      <c r="A12" s="1" t="s">
        <v>16</v>
      </c>
      <c r="B12" s="1" t="s">
        <v>87</v>
      </c>
      <c r="C12" s="11"/>
      <c r="D12" s="11"/>
      <c r="E12" s="11">
        <v>404</v>
      </c>
      <c r="F12" s="11"/>
      <c r="G12" s="11">
        <f t="shared" si="0"/>
        <v>404</v>
      </c>
      <c r="H12" s="17">
        <f t="shared" si="1"/>
        <v>0.1</v>
      </c>
      <c r="I12" s="16">
        <f t="shared" si="2"/>
        <v>0</v>
      </c>
      <c r="J12" s="16">
        <f>ROUND(G12/258-1,2)</f>
        <v>0.56999999999999995</v>
      </c>
    </row>
    <row r="13" spans="1:10" x14ac:dyDescent="0.25">
      <c r="A13" s="1" t="s">
        <v>16</v>
      </c>
      <c r="B13" s="1" t="s">
        <v>21</v>
      </c>
      <c r="C13" s="11"/>
      <c r="D13" s="11"/>
      <c r="E13" s="11">
        <v>322</v>
      </c>
      <c r="F13" s="11"/>
      <c r="G13" s="11">
        <f t="shared" si="0"/>
        <v>322</v>
      </c>
      <c r="H13" s="17">
        <f t="shared" si="1"/>
        <v>0.08</v>
      </c>
      <c r="I13" s="16">
        <f t="shared" si="2"/>
        <v>0</v>
      </c>
      <c r="J13" s="16">
        <f>ROUND(G13/463-1,2)</f>
        <v>-0.3</v>
      </c>
    </row>
    <row r="14" spans="1:10" x14ac:dyDescent="0.25">
      <c r="A14" s="1" t="s">
        <v>16</v>
      </c>
      <c r="B14" s="1" t="s">
        <v>22</v>
      </c>
      <c r="C14" s="11"/>
      <c r="D14" s="11"/>
      <c r="E14" s="11">
        <v>2900</v>
      </c>
      <c r="F14" s="11"/>
      <c r="G14" s="11">
        <f t="shared" si="0"/>
        <v>2900</v>
      </c>
      <c r="H14" s="17">
        <f t="shared" si="1"/>
        <v>0.74</v>
      </c>
      <c r="I14" s="16">
        <f t="shared" si="2"/>
        <v>2E-3</v>
      </c>
      <c r="J14" s="16">
        <f>ROUND(G14/2400-1,2)</f>
        <v>0.21</v>
      </c>
    </row>
    <row r="15" spans="1:10" x14ac:dyDescent="0.25">
      <c r="A15" s="1" t="s">
        <v>16</v>
      </c>
      <c r="B15" s="1" t="s">
        <v>23</v>
      </c>
      <c r="C15" s="11"/>
      <c r="D15" s="11"/>
      <c r="E15" s="11">
        <v>73460</v>
      </c>
      <c r="F15" s="11"/>
      <c r="G15" s="11">
        <f t="shared" si="0"/>
        <v>73460</v>
      </c>
      <c r="H15" s="17">
        <f t="shared" si="1"/>
        <v>18.760000000000002</v>
      </c>
      <c r="I15" s="16">
        <f t="shared" si="2"/>
        <v>5.5E-2</v>
      </c>
      <c r="J15" s="16">
        <f>ROUND(G15/75820-1,2)</f>
        <v>-0.03</v>
      </c>
    </row>
    <row r="16" spans="1:10" x14ac:dyDescent="0.25">
      <c r="A16" s="1" t="s">
        <v>16</v>
      </c>
      <c r="B16" s="1" t="s">
        <v>24</v>
      </c>
      <c r="C16" s="11">
        <v>171290</v>
      </c>
      <c r="D16" s="11"/>
      <c r="E16" s="11">
        <v>19980</v>
      </c>
      <c r="F16" s="11">
        <v>230</v>
      </c>
      <c r="G16" s="11">
        <f t="shared" si="0"/>
        <v>191500</v>
      </c>
      <c r="H16" s="17">
        <f t="shared" si="1"/>
        <v>48.9</v>
      </c>
      <c r="I16" s="16">
        <f t="shared" si="2"/>
        <v>0.14299999999999999</v>
      </c>
      <c r="J16" s="16">
        <f>ROUND(G16/186930-1,2)</f>
        <v>0.02</v>
      </c>
    </row>
    <row r="17" spans="1:10" x14ac:dyDescent="0.25">
      <c r="A17" s="1" t="s">
        <v>16</v>
      </c>
      <c r="B17" s="1" t="s">
        <v>25</v>
      </c>
      <c r="C17" s="11"/>
      <c r="D17" s="11"/>
      <c r="E17" s="11">
        <v>6035</v>
      </c>
      <c r="F17" s="11"/>
      <c r="G17" s="11">
        <f t="shared" si="0"/>
        <v>6035</v>
      </c>
      <c r="H17" s="17">
        <f t="shared" si="1"/>
        <v>1.54</v>
      </c>
      <c r="I17" s="16">
        <f t="shared" si="2"/>
        <v>5.0000000000000001E-3</v>
      </c>
      <c r="J17" s="16">
        <f>ROUND(G17/6205-1,2)</f>
        <v>-0.03</v>
      </c>
    </row>
    <row r="18" spans="1:10" x14ac:dyDescent="0.25">
      <c r="A18" s="1" t="s">
        <v>16</v>
      </c>
      <c r="B18" s="1" t="s">
        <v>26</v>
      </c>
      <c r="C18" s="11">
        <v>173890</v>
      </c>
      <c r="D18" s="11"/>
      <c r="E18" s="11"/>
      <c r="F18" s="11">
        <v>950</v>
      </c>
      <c r="G18" s="11">
        <f t="shared" si="0"/>
        <v>174840</v>
      </c>
      <c r="H18" s="17">
        <f t="shared" si="1"/>
        <v>44.65</v>
      </c>
      <c r="I18" s="16">
        <f t="shared" si="2"/>
        <v>0.13100000000000001</v>
      </c>
      <c r="J18" s="16">
        <f>ROUND(G18/132840-1,2)</f>
        <v>0.32</v>
      </c>
    </row>
    <row r="19" spans="1:10" x14ac:dyDescent="0.25">
      <c r="A19" s="1" t="s">
        <v>16</v>
      </c>
      <c r="B19" s="1" t="s">
        <v>27</v>
      </c>
      <c r="C19" s="11"/>
      <c r="D19" s="11"/>
      <c r="E19" s="11">
        <v>1534</v>
      </c>
      <c r="F19" s="11"/>
      <c r="G19" s="11">
        <f t="shared" si="0"/>
        <v>1534</v>
      </c>
      <c r="H19" s="17">
        <f t="shared" si="1"/>
        <v>0.39</v>
      </c>
      <c r="I19" s="16">
        <f t="shared" si="2"/>
        <v>1E-3</v>
      </c>
      <c r="J19" s="16">
        <f>ROUND(G19/1795-1,2)</f>
        <v>-0.15</v>
      </c>
    </row>
    <row r="20" spans="1:10" x14ac:dyDescent="0.25">
      <c r="A20" s="1" t="s">
        <v>16</v>
      </c>
      <c r="B20" s="1" t="s">
        <v>28</v>
      </c>
      <c r="C20" s="11"/>
      <c r="D20" s="11"/>
      <c r="E20" s="11">
        <v>947</v>
      </c>
      <c r="F20" s="11"/>
      <c r="G20" s="11">
        <f t="shared" si="0"/>
        <v>947</v>
      </c>
      <c r="H20" s="17">
        <f t="shared" si="1"/>
        <v>0.24</v>
      </c>
      <c r="I20" s="16">
        <f t="shared" si="2"/>
        <v>1E-3</v>
      </c>
      <c r="J20" s="16">
        <f>ROUND(G20/1243-1,2)</f>
        <v>-0.24</v>
      </c>
    </row>
    <row r="21" spans="1:10" x14ac:dyDescent="0.25">
      <c r="A21" s="1" t="s">
        <v>16</v>
      </c>
      <c r="B21" s="1" t="s">
        <v>29</v>
      </c>
      <c r="C21" s="11"/>
      <c r="D21" s="11"/>
      <c r="E21" s="11">
        <v>199</v>
      </c>
      <c r="F21" s="11"/>
      <c r="G21" s="11">
        <f t="shared" si="0"/>
        <v>199</v>
      </c>
      <c r="H21" s="17">
        <f t="shared" si="1"/>
        <v>0.05</v>
      </c>
      <c r="I21" s="16">
        <f t="shared" si="2"/>
        <v>0</v>
      </c>
      <c r="J21" s="16">
        <f>ROUND(G21/205-1,2)</f>
        <v>-0.03</v>
      </c>
    </row>
    <row r="22" spans="1:10" x14ac:dyDescent="0.25">
      <c r="A22" s="1" t="s">
        <v>16</v>
      </c>
      <c r="B22" s="1" t="s">
        <v>30</v>
      </c>
      <c r="C22" s="11"/>
      <c r="D22" s="11"/>
      <c r="E22" s="11">
        <v>5520</v>
      </c>
      <c r="F22" s="11"/>
      <c r="G22" s="11">
        <f t="shared" si="0"/>
        <v>5520</v>
      </c>
      <c r="H22" s="17">
        <f t="shared" si="1"/>
        <v>1.41</v>
      </c>
      <c r="I22" s="16">
        <f t="shared" si="2"/>
        <v>4.0000000000000001E-3</v>
      </c>
      <c r="J22" s="16">
        <f>ROUND(G22/7230-1,2)</f>
        <v>-0.24</v>
      </c>
    </row>
    <row r="23" spans="1:10" x14ac:dyDescent="0.25">
      <c r="A23" s="1" t="s">
        <v>16</v>
      </c>
      <c r="B23" s="1" t="s">
        <v>31</v>
      </c>
      <c r="C23" s="11"/>
      <c r="D23" s="11"/>
      <c r="E23" s="11">
        <v>1340</v>
      </c>
      <c r="F23" s="11"/>
      <c r="G23" s="11">
        <f t="shared" si="0"/>
        <v>1340</v>
      </c>
      <c r="H23" s="17">
        <f t="shared" si="1"/>
        <v>0.34</v>
      </c>
      <c r="I23" s="16">
        <f t="shared" si="2"/>
        <v>1E-3</v>
      </c>
      <c r="J23" s="16">
        <f>ROUND(G23/1280-1,2)</f>
        <v>0.05</v>
      </c>
    </row>
    <row r="24" spans="1:10" x14ac:dyDescent="0.25">
      <c r="A24" s="1" t="s">
        <v>16</v>
      </c>
      <c r="B24" s="1" t="s">
        <v>32</v>
      </c>
      <c r="C24" s="11"/>
      <c r="D24" s="11"/>
      <c r="E24" s="11">
        <v>590</v>
      </c>
      <c r="F24" s="11"/>
      <c r="G24" s="11">
        <f t="shared" si="0"/>
        <v>590</v>
      </c>
      <c r="H24" s="17">
        <f t="shared" si="1"/>
        <v>0.15</v>
      </c>
      <c r="I24" s="16">
        <f t="shared" si="2"/>
        <v>0</v>
      </c>
      <c r="J24" s="16">
        <f>ROUND(G24/950-1,2)</f>
        <v>-0.38</v>
      </c>
    </row>
    <row r="25" spans="1:10" x14ac:dyDescent="0.25">
      <c r="A25" s="1" t="s">
        <v>16</v>
      </c>
      <c r="B25" s="1" t="s">
        <v>33</v>
      </c>
      <c r="C25" s="11"/>
      <c r="D25" s="11"/>
      <c r="E25" s="11">
        <v>2284</v>
      </c>
      <c r="F25" s="11"/>
      <c r="G25" s="11">
        <f t="shared" si="0"/>
        <v>2284</v>
      </c>
      <c r="H25" s="17">
        <f t="shared" si="1"/>
        <v>0.57999999999999996</v>
      </c>
      <c r="I25" s="16">
        <f t="shared" si="2"/>
        <v>2E-3</v>
      </c>
      <c r="J25" s="16">
        <f>ROUND(G25/3405-1,2)</f>
        <v>-0.33</v>
      </c>
    </row>
    <row r="26" spans="1:10" x14ac:dyDescent="0.25">
      <c r="A26" s="1" t="s">
        <v>16</v>
      </c>
      <c r="B26" s="1" t="s">
        <v>34</v>
      </c>
      <c r="C26" s="11"/>
      <c r="D26" s="11">
        <v>131</v>
      </c>
      <c r="E26" s="11">
        <v>418</v>
      </c>
      <c r="F26" s="11"/>
      <c r="G26" s="11">
        <f t="shared" si="0"/>
        <v>549</v>
      </c>
      <c r="H26" s="17">
        <f t="shared" si="1"/>
        <v>0.14000000000000001</v>
      </c>
      <c r="I26" s="16">
        <f t="shared" si="2"/>
        <v>0</v>
      </c>
      <c r="J26" s="16">
        <f>ROUND(G26/556-1,2)</f>
        <v>-0.01</v>
      </c>
    </row>
    <row r="27" spans="1:10" x14ac:dyDescent="0.25">
      <c r="A27" s="1" t="s">
        <v>16</v>
      </c>
      <c r="B27" s="1" t="s">
        <v>35</v>
      </c>
      <c r="C27" s="11"/>
      <c r="D27" s="11"/>
      <c r="E27" s="11">
        <v>1368.5</v>
      </c>
      <c r="F27" s="11"/>
      <c r="G27" s="11">
        <f t="shared" si="0"/>
        <v>1368.5</v>
      </c>
      <c r="H27" s="17">
        <f t="shared" si="1"/>
        <v>0.35</v>
      </c>
      <c r="I27" s="16">
        <f t="shared" si="2"/>
        <v>1E-3</v>
      </c>
      <c r="J27" s="16">
        <f>ROUND(G27/1380-1,2)</f>
        <v>-0.01</v>
      </c>
    </row>
    <row r="28" spans="1:10" x14ac:dyDescent="0.25">
      <c r="A28" s="1" t="s">
        <v>16</v>
      </c>
      <c r="B28" s="1" t="s">
        <v>36</v>
      </c>
      <c r="C28" s="11"/>
      <c r="D28" s="11"/>
      <c r="E28" s="11">
        <v>650</v>
      </c>
      <c r="F28" s="11"/>
      <c r="G28" s="11">
        <f t="shared" si="0"/>
        <v>650</v>
      </c>
      <c r="H28" s="17">
        <f t="shared" si="1"/>
        <v>0.17</v>
      </c>
      <c r="I28" s="16">
        <f t="shared" si="2"/>
        <v>0</v>
      </c>
      <c r="J28" s="16">
        <f>ROUND(G28/500-1,2)</f>
        <v>0.3</v>
      </c>
    </row>
    <row r="29" spans="1:10" x14ac:dyDescent="0.25">
      <c r="A29" s="1" t="s">
        <v>16</v>
      </c>
      <c r="B29" s="1" t="s">
        <v>37</v>
      </c>
      <c r="C29" s="11"/>
      <c r="D29" s="11"/>
      <c r="E29" s="11">
        <v>2310</v>
      </c>
      <c r="F29" s="11"/>
      <c r="G29" s="11">
        <f t="shared" si="0"/>
        <v>2310</v>
      </c>
      <c r="H29" s="17">
        <f t="shared" si="1"/>
        <v>0.59</v>
      </c>
      <c r="I29" s="16">
        <f t="shared" si="2"/>
        <v>2E-3</v>
      </c>
      <c r="J29" s="16">
        <f>ROUND(G29/2780-1,2)</f>
        <v>-0.17</v>
      </c>
    </row>
    <row r="30" spans="1:10" x14ac:dyDescent="0.25">
      <c r="A30" s="1" t="s">
        <v>16</v>
      </c>
      <c r="B30" s="1" t="s">
        <v>39</v>
      </c>
      <c r="C30" s="11"/>
      <c r="D30" s="11"/>
      <c r="E30" s="11">
        <v>13088</v>
      </c>
      <c r="F30" s="11"/>
      <c r="G30" s="11">
        <f t="shared" si="0"/>
        <v>13088</v>
      </c>
      <c r="H30" s="17">
        <f t="shared" si="1"/>
        <v>3.34</v>
      </c>
      <c r="I30" s="16">
        <f t="shared" si="2"/>
        <v>0.01</v>
      </c>
      <c r="J30" s="16">
        <f>ROUND(G30/9993-1,2)</f>
        <v>0.31</v>
      </c>
    </row>
    <row r="31" spans="1:10" x14ac:dyDescent="0.25">
      <c r="A31" s="1" t="s">
        <v>16</v>
      </c>
      <c r="B31" s="1" t="s">
        <v>38</v>
      </c>
      <c r="C31" s="11"/>
      <c r="D31" s="11"/>
      <c r="E31" s="11">
        <v>5760</v>
      </c>
      <c r="F31" s="11"/>
      <c r="G31" s="11">
        <f t="shared" si="0"/>
        <v>5760</v>
      </c>
      <c r="H31" s="17">
        <f t="shared" si="1"/>
        <v>1.47</v>
      </c>
      <c r="I31" s="16">
        <f t="shared" si="2"/>
        <v>4.0000000000000001E-3</v>
      </c>
      <c r="J31" s="16">
        <f>ROUND(G31/10290-1,2)</f>
        <v>-0.44</v>
      </c>
    </row>
    <row r="32" spans="1:10" x14ac:dyDescent="0.25">
      <c r="A32" s="1" t="s">
        <v>16</v>
      </c>
      <c r="B32" s="1" t="s">
        <v>40</v>
      </c>
      <c r="C32" s="11"/>
      <c r="D32" s="11"/>
      <c r="E32" s="11">
        <v>107785</v>
      </c>
      <c r="F32" s="11"/>
      <c r="G32" s="11">
        <f t="shared" si="0"/>
        <v>107785</v>
      </c>
      <c r="H32" s="17">
        <f t="shared" si="1"/>
        <v>27.52</v>
      </c>
      <c r="I32" s="16">
        <f t="shared" si="2"/>
        <v>8.1000000000000003E-2</v>
      </c>
      <c r="J32" s="16">
        <f>ROUND(G32/110395-1,2)</f>
        <v>-0.02</v>
      </c>
    </row>
    <row r="33" spans="1:10" x14ac:dyDescent="0.25">
      <c r="A33" s="1" t="s">
        <v>16</v>
      </c>
      <c r="B33" s="1" t="s">
        <v>41</v>
      </c>
      <c r="C33" s="11"/>
      <c r="D33" s="11"/>
      <c r="E33" s="11">
        <v>6910</v>
      </c>
      <c r="F33" s="11"/>
      <c r="G33" s="11">
        <f t="shared" si="0"/>
        <v>6910</v>
      </c>
      <c r="H33" s="17">
        <f t="shared" si="1"/>
        <v>1.76</v>
      </c>
      <c r="I33" s="16">
        <f t="shared" si="2"/>
        <v>5.0000000000000001E-3</v>
      </c>
      <c r="J33" s="16">
        <f>ROUND(G33/6370-1,2)</f>
        <v>0.08</v>
      </c>
    </row>
    <row r="34" spans="1:10" x14ac:dyDescent="0.25">
      <c r="A34" s="1" t="s">
        <v>16</v>
      </c>
      <c r="B34" s="1" t="s">
        <v>42</v>
      </c>
      <c r="C34" s="11"/>
      <c r="D34" s="11"/>
      <c r="E34" s="11">
        <v>23180</v>
      </c>
      <c r="F34" s="11"/>
      <c r="G34" s="11">
        <f t="shared" si="0"/>
        <v>23180</v>
      </c>
      <c r="H34" s="17">
        <f t="shared" si="1"/>
        <v>5.92</v>
      </c>
      <c r="I34" s="16">
        <f t="shared" si="2"/>
        <v>1.7000000000000001E-2</v>
      </c>
      <c r="J34" s="16">
        <f>ROUND(G34/23630-1,2)</f>
        <v>-0.02</v>
      </c>
    </row>
    <row r="35" spans="1:10" x14ac:dyDescent="0.25">
      <c r="A35" s="1" t="s">
        <v>16</v>
      </c>
      <c r="B35" s="1" t="s">
        <v>44</v>
      </c>
      <c r="C35" s="11"/>
      <c r="D35" s="11"/>
      <c r="E35" s="11">
        <v>115650</v>
      </c>
      <c r="F35" s="11">
        <v>8980</v>
      </c>
      <c r="G35" s="11">
        <f t="shared" si="0"/>
        <v>124630</v>
      </c>
      <c r="H35" s="17">
        <f t="shared" si="1"/>
        <v>31.83</v>
      </c>
      <c r="I35" s="16">
        <f t="shared" si="2"/>
        <v>9.2999999999999999E-2</v>
      </c>
      <c r="J35" s="16">
        <f>ROUND(G35/114690-1,2)</f>
        <v>0.09</v>
      </c>
    </row>
    <row r="36" spans="1:10" x14ac:dyDescent="0.25">
      <c r="A36" s="1" t="s">
        <v>16</v>
      </c>
      <c r="B36" s="1" t="s">
        <v>96</v>
      </c>
      <c r="C36" s="11"/>
      <c r="D36" s="11"/>
      <c r="E36" s="11"/>
      <c r="F36" s="11"/>
      <c r="G36" s="11">
        <f t="shared" si="0"/>
        <v>0</v>
      </c>
      <c r="H36" s="17">
        <f t="shared" si="1"/>
        <v>0</v>
      </c>
      <c r="I36" s="16">
        <f t="shared" si="2"/>
        <v>0</v>
      </c>
      <c r="J36" s="16">
        <f>ROUND(G36/142-1,2)</f>
        <v>-1</v>
      </c>
    </row>
    <row r="37" spans="1:10" x14ac:dyDescent="0.25">
      <c r="A37" s="1" t="s">
        <v>45</v>
      </c>
      <c r="B37" s="1" t="s">
        <v>46</v>
      </c>
      <c r="C37" s="11">
        <v>185780</v>
      </c>
      <c r="D37" s="11"/>
      <c r="E37" s="11"/>
      <c r="F37" s="11">
        <v>940</v>
      </c>
      <c r="G37" s="11">
        <f t="shared" si="0"/>
        <v>186720</v>
      </c>
      <c r="H37" s="17">
        <f t="shared" si="1"/>
        <v>47.68</v>
      </c>
      <c r="I37" s="16">
        <f t="shared" si="2"/>
        <v>0.14000000000000001</v>
      </c>
      <c r="J37" s="16">
        <f>ROUND(G37/188760-1,2)</f>
        <v>-0.01</v>
      </c>
    </row>
    <row r="38" spans="1:10" x14ac:dyDescent="0.25">
      <c r="A38" s="1" t="s">
        <v>45</v>
      </c>
      <c r="B38" s="1" t="s">
        <v>48</v>
      </c>
      <c r="C38" s="11"/>
      <c r="D38" s="11"/>
      <c r="E38" s="11"/>
      <c r="F38" s="11">
        <v>27740</v>
      </c>
      <c r="G38" s="11">
        <f t="shared" si="0"/>
        <v>27740</v>
      </c>
      <c r="H38" s="17">
        <f t="shared" si="1"/>
        <v>7.08</v>
      </c>
      <c r="I38" s="16">
        <f t="shared" si="2"/>
        <v>2.1000000000000001E-2</v>
      </c>
      <c r="J38" s="16">
        <f>ROUND(G38/33620-1,2)</f>
        <v>-0.17</v>
      </c>
    </row>
    <row r="39" spans="1:10" x14ac:dyDescent="0.25">
      <c r="A39" s="1" t="s">
        <v>45</v>
      </c>
      <c r="B39" s="1" t="s">
        <v>47</v>
      </c>
      <c r="C39" s="11"/>
      <c r="D39" s="11"/>
      <c r="E39" s="11">
        <v>80220</v>
      </c>
      <c r="F39" s="11"/>
      <c r="G39" s="11">
        <f t="shared" si="0"/>
        <v>80220</v>
      </c>
      <c r="H39" s="17">
        <f t="shared" si="1"/>
        <v>20.49</v>
      </c>
      <c r="I39" s="16">
        <f t="shared" si="2"/>
        <v>0.06</v>
      </c>
      <c r="J39" s="16">
        <f>ROUND(G39/78910-1,2)</f>
        <v>0.02</v>
      </c>
    </row>
    <row r="40" spans="1:10" x14ac:dyDescent="0.25">
      <c r="A40" s="1" t="s">
        <v>49</v>
      </c>
      <c r="B40" s="1" t="s">
        <v>52</v>
      </c>
      <c r="C40" s="11"/>
      <c r="D40" s="11"/>
      <c r="E40" s="11"/>
      <c r="F40" s="11"/>
      <c r="G40" s="11">
        <f t="shared" si="0"/>
        <v>0</v>
      </c>
      <c r="H40" s="17">
        <f t="shared" si="1"/>
        <v>0</v>
      </c>
      <c r="I40" s="16">
        <f t="shared" si="2"/>
        <v>0</v>
      </c>
      <c r="J40" s="16"/>
    </row>
    <row r="41" spans="1:10" x14ac:dyDescent="0.25">
      <c r="A41" s="1" t="s">
        <v>49</v>
      </c>
      <c r="B41" s="1" t="s">
        <v>50</v>
      </c>
      <c r="C41" s="11"/>
      <c r="D41" s="11"/>
      <c r="E41" s="11"/>
      <c r="F41" s="11"/>
      <c r="G41" s="11">
        <f t="shared" si="0"/>
        <v>0</v>
      </c>
      <c r="H41" s="17">
        <f t="shared" si="1"/>
        <v>0</v>
      </c>
      <c r="I41" s="16">
        <f t="shared" si="2"/>
        <v>0</v>
      </c>
      <c r="J41" s="16">
        <f>ROUND(G41/200-1,2)</f>
        <v>-1</v>
      </c>
    </row>
    <row r="42" spans="1:10" x14ac:dyDescent="0.25">
      <c r="A42" s="1" t="s">
        <v>49</v>
      </c>
      <c r="B42" s="1" t="s">
        <v>51</v>
      </c>
      <c r="C42" s="11"/>
      <c r="D42" s="11"/>
      <c r="E42" s="11"/>
      <c r="F42" s="11"/>
      <c r="G42" s="11">
        <f t="shared" si="0"/>
        <v>0</v>
      </c>
      <c r="H42" s="17">
        <f t="shared" si="1"/>
        <v>0</v>
      </c>
      <c r="I42" s="16">
        <f t="shared" si="2"/>
        <v>0</v>
      </c>
      <c r="J42" s="16"/>
    </row>
    <row r="43" spans="1:10" x14ac:dyDescent="0.25">
      <c r="A43" s="26" t="s">
        <v>12</v>
      </c>
      <c r="B43" s="26"/>
      <c r="C43" s="12">
        <f t="shared" ref="C43:H43" si="3">SUM(C8:C42)</f>
        <v>816480</v>
      </c>
      <c r="D43" s="12">
        <f t="shared" si="3"/>
        <v>2051</v>
      </c>
      <c r="E43" s="12">
        <f t="shared" si="3"/>
        <v>478597.5</v>
      </c>
      <c r="F43" s="12">
        <f t="shared" si="3"/>
        <v>39230</v>
      </c>
      <c r="G43" s="12">
        <f t="shared" si="3"/>
        <v>1336358.5</v>
      </c>
      <c r="H43" s="15">
        <f t="shared" si="3"/>
        <v>341.23999999999995</v>
      </c>
      <c r="I43" s="18"/>
      <c r="J43" s="18"/>
    </row>
    <row r="44" spans="1:10" x14ac:dyDescent="0.25">
      <c r="A44" s="26" t="s">
        <v>14</v>
      </c>
      <c r="B44" s="26"/>
      <c r="C44" s="13">
        <f>ROUND(C43/G43,2)</f>
        <v>0.61</v>
      </c>
      <c r="D44" s="13">
        <f>ROUND(D43/G43,2)</f>
        <v>0</v>
      </c>
      <c r="E44" s="13">
        <f>ROUND(E43/G43,2)</f>
        <v>0.36</v>
      </c>
      <c r="F44" s="13">
        <f>ROUND(F43/G43,2)</f>
        <v>0.03</v>
      </c>
      <c r="G44" s="14"/>
      <c r="H44" s="14"/>
      <c r="I44" s="18"/>
      <c r="J44" s="18"/>
    </row>
    <row r="45" spans="1:10" x14ac:dyDescent="0.25">
      <c r="A45" s="2" t="s">
        <v>53</v>
      </c>
      <c r="B45" s="2"/>
      <c r="C45" s="14"/>
      <c r="D45" s="14"/>
      <c r="E45" s="14"/>
      <c r="F45" s="14"/>
      <c r="G45" s="14"/>
      <c r="H45" s="14"/>
      <c r="I45" s="18"/>
      <c r="J45" s="18"/>
    </row>
    <row r="46" spans="1:10" x14ac:dyDescent="0.25">
      <c r="C46" s="9"/>
      <c r="D46" s="9"/>
      <c r="E46" s="9"/>
      <c r="F46" s="9"/>
      <c r="G46" s="9"/>
      <c r="H46" s="9"/>
      <c r="I46" s="10"/>
      <c r="J46" s="10"/>
    </row>
    <row r="47" spans="1:10" x14ac:dyDescent="0.25">
      <c r="C47" s="9"/>
      <c r="D47" s="9"/>
      <c r="E47" s="9"/>
      <c r="F47" s="9"/>
      <c r="G47" s="9"/>
      <c r="H47" s="9"/>
      <c r="I47" s="10"/>
      <c r="J47" s="10"/>
    </row>
    <row r="48" spans="1:10" x14ac:dyDescent="0.25">
      <c r="C48" s="9"/>
      <c r="D48" s="9"/>
      <c r="E48" s="9"/>
      <c r="F48" s="9"/>
      <c r="G48" s="9"/>
      <c r="H48" s="9"/>
      <c r="I48" s="10"/>
      <c r="J48" s="10"/>
    </row>
    <row r="49" spans="1:10" x14ac:dyDescent="0.25">
      <c r="A49" s="26" t="s">
        <v>54</v>
      </c>
      <c r="B49" s="26"/>
      <c r="C49" s="12" t="s">
        <v>8</v>
      </c>
      <c r="D49" s="12" t="s">
        <v>9</v>
      </c>
      <c r="E49" s="12" t="s">
        <v>10</v>
      </c>
      <c r="F49" s="12" t="s">
        <v>11</v>
      </c>
      <c r="G49" s="12" t="s">
        <v>12</v>
      </c>
      <c r="H49" s="15" t="s">
        <v>13</v>
      </c>
      <c r="I49" s="18"/>
      <c r="J49" s="18"/>
    </row>
    <row r="50" spans="1:10" x14ac:dyDescent="0.25">
      <c r="A50" s="21" t="s">
        <v>55</v>
      </c>
      <c r="B50" s="21"/>
      <c r="C50" s="11">
        <v>630700</v>
      </c>
      <c r="D50" s="11">
        <v>2051</v>
      </c>
      <c r="E50" s="11">
        <v>398377.5</v>
      </c>
      <c r="F50" s="11">
        <v>10550</v>
      </c>
      <c r="G50" s="11">
        <f>SUM(C50:F50)</f>
        <v>1041678.5</v>
      </c>
      <c r="H50" s="17">
        <f>ROUND(G50/3916,2)</f>
        <v>266.01</v>
      </c>
      <c r="I50" s="10"/>
      <c r="J50" s="10"/>
    </row>
    <row r="51" spans="1:10" x14ac:dyDescent="0.25">
      <c r="A51" s="21" t="s">
        <v>56</v>
      </c>
      <c r="B51" s="21"/>
      <c r="C51" s="11">
        <v>185780</v>
      </c>
      <c r="D51" s="11">
        <v>0</v>
      </c>
      <c r="E51" s="11">
        <v>80220</v>
      </c>
      <c r="F51" s="11">
        <v>28680</v>
      </c>
      <c r="G51" s="11">
        <f>SUM(C51:F51)</f>
        <v>294680</v>
      </c>
      <c r="H51" s="17">
        <f>ROUND(G51/3916,2)</f>
        <v>75.25</v>
      </c>
      <c r="I51" s="10"/>
      <c r="J51" s="10"/>
    </row>
    <row r="52" spans="1:10" x14ac:dyDescent="0.25">
      <c r="A52" s="21" t="s">
        <v>57</v>
      </c>
      <c r="B52" s="21"/>
      <c r="C52" s="11">
        <v>0</v>
      </c>
      <c r="D52" s="11">
        <v>0</v>
      </c>
      <c r="E52" s="11">
        <v>0</v>
      </c>
      <c r="F52" s="11">
        <v>0</v>
      </c>
      <c r="G52" s="11">
        <f>SUM(C52:F52)</f>
        <v>0</v>
      </c>
      <c r="H52" s="17">
        <f>ROUND(G52/3916,2)</f>
        <v>0</v>
      </c>
      <c r="I52" s="10"/>
      <c r="J52" s="10"/>
    </row>
    <row r="53" spans="1:10" x14ac:dyDescent="0.25">
      <c r="C53" s="9"/>
      <c r="D53" s="9"/>
      <c r="E53" s="9"/>
      <c r="F53" s="9"/>
      <c r="G53" s="9"/>
      <c r="H53" s="9"/>
      <c r="I53" s="10"/>
      <c r="J53" s="10"/>
    </row>
    <row r="54" spans="1:10" x14ac:dyDescent="0.25">
      <c r="C54" s="9"/>
      <c r="D54" s="9"/>
      <c r="E54" s="9"/>
      <c r="F54" s="9"/>
      <c r="G54" s="9"/>
      <c r="H54" s="9"/>
      <c r="I54" s="10"/>
      <c r="J54" s="10"/>
    </row>
    <row r="55" spans="1:10" x14ac:dyDescent="0.25">
      <c r="C55" s="9"/>
      <c r="D55" s="9"/>
      <c r="E55" s="9"/>
      <c r="F55" s="9"/>
      <c r="G55" s="9"/>
      <c r="H55" s="9"/>
      <c r="I55" s="10"/>
      <c r="J55" s="10"/>
    </row>
    <row r="56" spans="1:10" x14ac:dyDescent="0.25">
      <c r="C56" s="9"/>
      <c r="D56" s="9"/>
      <c r="E56" s="9"/>
      <c r="F56" s="9"/>
      <c r="G56" s="9"/>
      <c r="H56" s="9"/>
      <c r="I56" s="10"/>
      <c r="J56" s="10"/>
    </row>
    <row r="57" spans="1:10" x14ac:dyDescent="0.25">
      <c r="A57" s="26" t="s">
        <v>58</v>
      </c>
      <c r="B57" s="26"/>
      <c r="C57" s="15" t="s">
        <v>2</v>
      </c>
      <c r="D57" s="15">
        <v>2024</v>
      </c>
      <c r="E57" s="15" t="s">
        <v>60</v>
      </c>
      <c r="F57" s="14"/>
      <c r="G57" s="15" t="s">
        <v>61</v>
      </c>
      <c r="H57" s="15" t="s">
        <v>2</v>
      </c>
      <c r="I57" s="13" t="s">
        <v>62</v>
      </c>
      <c r="J57" s="13" t="s">
        <v>60</v>
      </c>
    </row>
    <row r="58" spans="1:10" x14ac:dyDescent="0.25">
      <c r="A58" s="21" t="s">
        <v>59</v>
      </c>
      <c r="B58" s="21"/>
      <c r="C58" s="16">
        <f>ROUND(0.8518, 4)</f>
        <v>0.8518</v>
      </c>
      <c r="D58" s="16">
        <f>ROUND(0.8354, 4)</f>
        <v>0.83540000000000003</v>
      </c>
      <c r="E58" s="16">
        <f>ROUND(0.7856, 4)</f>
        <v>0.78559999999999997</v>
      </c>
      <c r="F58" s="9"/>
      <c r="G58" s="15" t="s">
        <v>63</v>
      </c>
      <c r="H58" s="27" t="s">
        <v>64</v>
      </c>
      <c r="I58" s="24" t="s">
        <v>65</v>
      </c>
      <c r="J58" s="24" t="s">
        <v>66</v>
      </c>
    </row>
    <row r="59" spans="1:10" x14ac:dyDescent="0.25">
      <c r="A59" s="21" t="s">
        <v>67</v>
      </c>
      <c r="B59" s="21"/>
      <c r="C59" s="16">
        <f>ROUND(0.8518, 4)</f>
        <v>0.8518</v>
      </c>
      <c r="D59" s="16">
        <f>ROUND(0.8209, 4)</f>
        <v>0.82089999999999996</v>
      </c>
      <c r="E59" s="16">
        <f>ROUND(0.7702, 4)</f>
        <v>0.7702</v>
      </c>
      <c r="F59" s="9"/>
      <c r="G59" s="15" t="s">
        <v>68</v>
      </c>
      <c r="H59" s="28"/>
      <c r="I59" s="25"/>
      <c r="J59" s="25"/>
    </row>
    <row r="60" spans="1:10" x14ac:dyDescent="0.25">
      <c r="C60" s="9"/>
      <c r="D60" s="9"/>
      <c r="E60" s="9"/>
      <c r="F60" s="9"/>
      <c r="G60" s="9"/>
      <c r="H60" s="9"/>
      <c r="I60" s="10"/>
      <c r="J60" s="10"/>
    </row>
    <row r="61" spans="1:10" x14ac:dyDescent="0.25">
      <c r="C61" s="9"/>
      <c r="D61" s="9"/>
      <c r="E61" s="9"/>
      <c r="F61" s="9"/>
      <c r="G61" s="9"/>
      <c r="H61" s="9"/>
      <c r="I61" s="10"/>
      <c r="J61" s="10"/>
    </row>
    <row r="62" spans="1:10" x14ac:dyDescent="0.25">
      <c r="C62" s="9"/>
      <c r="D62" s="9"/>
      <c r="E62" s="9"/>
      <c r="F62" s="9"/>
      <c r="G62" s="9"/>
      <c r="H62" s="9"/>
      <c r="I62" s="10"/>
      <c r="J62" s="10"/>
    </row>
    <row r="63" spans="1:10" x14ac:dyDescent="0.25">
      <c r="A63" s="26" t="s">
        <v>69</v>
      </c>
      <c r="B63" s="26"/>
      <c r="C63" s="15" t="s">
        <v>2</v>
      </c>
      <c r="D63" s="15" t="s">
        <v>264</v>
      </c>
      <c r="E63" s="15" t="s">
        <v>71</v>
      </c>
      <c r="F63" s="15" t="s">
        <v>72</v>
      </c>
      <c r="G63" s="15" t="s">
        <v>73</v>
      </c>
      <c r="H63" s="14"/>
      <c r="I63" s="18"/>
      <c r="J63" s="18"/>
    </row>
    <row r="64" spans="1:10" x14ac:dyDescent="0.25">
      <c r="A64" s="21" t="s">
        <v>74</v>
      </c>
      <c r="B64" s="21"/>
      <c r="C64" s="17">
        <v>47.68</v>
      </c>
      <c r="D64" s="17">
        <v>50.9</v>
      </c>
      <c r="E64" s="17">
        <v>96.15</v>
      </c>
      <c r="F64" s="17">
        <v>57.94</v>
      </c>
      <c r="G64" s="17">
        <f>12/12*C64</f>
        <v>47.68</v>
      </c>
      <c r="H64" s="9"/>
      <c r="I64" s="10"/>
      <c r="J64" s="10"/>
    </row>
    <row r="65" spans="1:10" x14ac:dyDescent="0.25">
      <c r="A65" s="21" t="s">
        <v>75</v>
      </c>
      <c r="B65" s="21"/>
      <c r="C65" s="17">
        <v>44.65</v>
      </c>
      <c r="D65" s="17">
        <v>35.14</v>
      </c>
      <c r="E65" s="17">
        <v>62.28</v>
      </c>
      <c r="F65" s="17">
        <v>66.599999999999994</v>
      </c>
      <c r="G65" s="17">
        <f>12/12*C65</f>
        <v>44.65</v>
      </c>
      <c r="H65" s="9"/>
      <c r="I65" s="10"/>
      <c r="J65" s="10"/>
    </row>
    <row r="66" spans="1:10" x14ac:dyDescent="0.25">
      <c r="A66" s="21" t="s">
        <v>76</v>
      </c>
      <c r="B66" s="21"/>
      <c r="C66" s="17">
        <v>266.01</v>
      </c>
      <c r="D66" s="17">
        <v>237.06</v>
      </c>
      <c r="E66" s="17">
        <v>300.02</v>
      </c>
      <c r="F66" s="17">
        <v>295.08</v>
      </c>
      <c r="G66" s="17">
        <f>12/12*C66</f>
        <v>266.01</v>
      </c>
      <c r="H66" s="9"/>
      <c r="I66" s="10"/>
      <c r="J66" s="10"/>
    </row>
    <row r="67" spans="1:10" x14ac:dyDescent="0.25">
      <c r="A67" s="21" t="s">
        <v>77</v>
      </c>
      <c r="B67" s="21"/>
      <c r="C67" s="17">
        <v>75.25</v>
      </c>
      <c r="D67" s="17">
        <v>76.06</v>
      </c>
      <c r="E67" s="17">
        <v>120.96</v>
      </c>
      <c r="F67" s="17">
        <v>83.12</v>
      </c>
      <c r="G67" s="17">
        <f>12/12*C67</f>
        <v>75.25</v>
      </c>
      <c r="H67" s="9"/>
      <c r="I67" s="10"/>
      <c r="J67" s="10"/>
    </row>
    <row r="68" spans="1:10" x14ac:dyDescent="0.25">
      <c r="C68" s="9"/>
      <c r="D68" s="9"/>
      <c r="E68" s="9"/>
      <c r="F68" s="9"/>
      <c r="G68" s="9"/>
      <c r="H68" s="9"/>
      <c r="I68" s="10"/>
      <c r="J68" s="10"/>
    </row>
    <row r="69" spans="1:10" x14ac:dyDescent="0.25">
      <c r="C69" s="9"/>
      <c r="D69" s="9"/>
      <c r="E69" s="9"/>
      <c r="F69" s="9"/>
      <c r="G69" s="9"/>
      <c r="H69" s="9"/>
      <c r="I69" s="10"/>
      <c r="J69" s="10"/>
    </row>
    <row r="70" spans="1:10" x14ac:dyDescent="0.25">
      <c r="A70" s="22" t="s">
        <v>61</v>
      </c>
      <c r="B70" s="23"/>
      <c r="C70" s="9"/>
      <c r="D70" s="9"/>
      <c r="E70" s="9"/>
      <c r="F70" s="9"/>
      <c r="G70" s="9"/>
      <c r="H70" s="9"/>
      <c r="I70" s="10"/>
      <c r="J70" s="10"/>
    </row>
    <row r="71" spans="1:10" x14ac:dyDescent="0.25">
      <c r="A71" s="3" t="s">
        <v>78</v>
      </c>
      <c r="B71" s="1" t="s">
        <v>265</v>
      </c>
    </row>
    <row r="72" spans="1:10" x14ac:dyDescent="0.25">
      <c r="A72" s="3" t="s">
        <v>71</v>
      </c>
      <c r="B72" s="1" t="s">
        <v>80</v>
      </c>
    </row>
    <row r="73" spans="1:10" x14ac:dyDescent="0.25">
      <c r="A73" s="3" t="s">
        <v>72</v>
      </c>
      <c r="B73" s="1" t="s">
        <v>81</v>
      </c>
    </row>
    <row r="74" spans="1:10" x14ac:dyDescent="0.25">
      <c r="A74" s="3" t="s">
        <v>73</v>
      </c>
      <c r="B74" s="1" t="s">
        <v>82</v>
      </c>
    </row>
  </sheetData>
  <mergeCells count="19">
    <mergeCell ref="C7:G7"/>
    <mergeCell ref="A43:B43"/>
    <mergeCell ref="A44:B44"/>
    <mergeCell ref="A49:B49"/>
    <mergeCell ref="A50:B50"/>
    <mergeCell ref="J58:J59"/>
    <mergeCell ref="A59:B59"/>
    <mergeCell ref="A63:B63"/>
    <mergeCell ref="A64:B64"/>
    <mergeCell ref="A51:B51"/>
    <mergeCell ref="A52:B52"/>
    <mergeCell ref="A57:B57"/>
    <mergeCell ref="A58:B58"/>
    <mergeCell ref="H58:H59"/>
    <mergeCell ref="A65:B65"/>
    <mergeCell ref="A66:B66"/>
    <mergeCell ref="A67:B67"/>
    <mergeCell ref="A70:B70"/>
    <mergeCell ref="I58:I59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J70"/>
  <sheetViews>
    <sheetView workbookViewId="0">
      <selection activeCell="H5" sqref="H5"/>
    </sheetView>
  </sheetViews>
  <sheetFormatPr defaultRowHeight="15" x14ac:dyDescent="0.25"/>
  <cols>
    <col min="1" max="1" width="28.42578125" bestFit="1" customWidth="1"/>
    <col min="2" max="2" width="59.5703125" bestFit="1" customWidth="1"/>
    <col min="3" max="3" width="12.7109375" bestFit="1" customWidth="1"/>
    <col min="4" max="4" width="21.5703125" bestFit="1" customWidth="1"/>
    <col min="5" max="5" width="13.85546875" bestFit="1" customWidth="1"/>
    <col min="6" max="6" width="8.5703125" bestFit="1" customWidth="1"/>
    <col min="7" max="7" width="47.7109375" bestFit="1" customWidth="1"/>
    <col min="8" max="9" width="16.7109375" bestFit="1" customWidth="1"/>
    <col min="10" max="10" width="24.42578125" bestFit="1" customWidth="1"/>
  </cols>
  <sheetData>
    <row r="2" spans="1:10" ht="18.75" x14ac:dyDescent="0.3">
      <c r="A2" s="3" t="s">
        <v>0</v>
      </c>
      <c r="B2" s="4" t="s">
        <v>266</v>
      </c>
    </row>
    <row r="3" spans="1:10" x14ac:dyDescent="0.25">
      <c r="A3" s="3" t="s">
        <v>2</v>
      </c>
      <c r="B3" s="1" t="s">
        <v>3</v>
      </c>
    </row>
    <row r="4" spans="1:10" x14ac:dyDescent="0.25">
      <c r="A4" s="3" t="s">
        <v>4</v>
      </c>
      <c r="B4" s="20">
        <v>254</v>
      </c>
    </row>
    <row r="7" spans="1:10" x14ac:dyDescent="0.25">
      <c r="C7" s="22" t="s">
        <v>5</v>
      </c>
      <c r="D7" s="21"/>
      <c r="E7" s="21"/>
      <c r="F7" s="21"/>
      <c r="G7" s="21"/>
    </row>
    <row r="8" spans="1:10" x14ac:dyDescent="0.25">
      <c r="A8" s="3" t="s">
        <v>6</v>
      </c>
      <c r="B8" s="3" t="s">
        <v>7</v>
      </c>
      <c r="C8" s="15" t="s">
        <v>8</v>
      </c>
      <c r="D8" s="15" t="s">
        <v>9</v>
      </c>
      <c r="E8" s="15" t="s">
        <v>10</v>
      </c>
      <c r="F8" s="15" t="s">
        <v>11</v>
      </c>
      <c r="G8" s="15" t="s">
        <v>12</v>
      </c>
      <c r="H8" s="15" t="s">
        <v>13</v>
      </c>
      <c r="I8" s="15" t="s">
        <v>14</v>
      </c>
      <c r="J8" s="15" t="s">
        <v>15</v>
      </c>
    </row>
    <row r="9" spans="1:10" x14ac:dyDescent="0.25">
      <c r="A9" s="1" t="s">
        <v>16</v>
      </c>
      <c r="B9" s="1" t="s">
        <v>17</v>
      </c>
      <c r="C9" s="11"/>
      <c r="D9" s="11"/>
      <c r="E9" s="11">
        <v>5</v>
      </c>
      <c r="F9" s="11"/>
      <c r="G9" s="11">
        <f t="shared" ref="G9:G38" si="0">SUM(C9:F9)</f>
        <v>5</v>
      </c>
      <c r="H9" s="17">
        <f t="shared" ref="H9:H38" si="1">ROUND(G9/254,2)</f>
        <v>0.02</v>
      </c>
      <c r="I9" s="16">
        <f t="shared" ref="I9:I38" si="2">ROUND(G9/$G$39,3)</f>
        <v>0</v>
      </c>
      <c r="J9" s="16">
        <f>ROUND(G9/5-1,2)</f>
        <v>0</v>
      </c>
    </row>
    <row r="10" spans="1:10" x14ac:dyDescent="0.25">
      <c r="A10" s="1" t="s">
        <v>16</v>
      </c>
      <c r="B10" s="1" t="s">
        <v>19</v>
      </c>
      <c r="C10" s="11">
        <v>8240</v>
      </c>
      <c r="D10" s="11"/>
      <c r="E10" s="11">
        <v>245</v>
      </c>
      <c r="F10" s="11"/>
      <c r="G10" s="11">
        <f t="shared" si="0"/>
        <v>8485</v>
      </c>
      <c r="H10" s="17">
        <f t="shared" si="1"/>
        <v>33.409999999999997</v>
      </c>
      <c r="I10" s="16">
        <f t="shared" si="2"/>
        <v>0.10199999999999999</v>
      </c>
      <c r="J10" s="16">
        <f>ROUND(G10/10216-1,2)</f>
        <v>-0.17</v>
      </c>
    </row>
    <row r="11" spans="1:10" x14ac:dyDescent="0.25">
      <c r="A11" s="1" t="s">
        <v>16</v>
      </c>
      <c r="B11" s="1" t="s">
        <v>20</v>
      </c>
      <c r="C11" s="11">
        <v>13330</v>
      </c>
      <c r="D11" s="11"/>
      <c r="E11" s="11"/>
      <c r="F11" s="11"/>
      <c r="G11" s="11">
        <f t="shared" si="0"/>
        <v>13330</v>
      </c>
      <c r="H11" s="17">
        <f t="shared" si="1"/>
        <v>52.48</v>
      </c>
      <c r="I11" s="16">
        <f t="shared" si="2"/>
        <v>0.16</v>
      </c>
      <c r="J11" s="16">
        <f>ROUND(G11/13704-1,2)</f>
        <v>-0.03</v>
      </c>
    </row>
    <row r="12" spans="1:10" x14ac:dyDescent="0.25">
      <c r="A12" s="1" t="s">
        <v>16</v>
      </c>
      <c r="B12" s="1" t="s">
        <v>21</v>
      </c>
      <c r="C12" s="11"/>
      <c r="D12" s="11"/>
      <c r="E12" s="11">
        <v>13</v>
      </c>
      <c r="F12" s="11"/>
      <c r="G12" s="11">
        <f t="shared" si="0"/>
        <v>13</v>
      </c>
      <c r="H12" s="17">
        <f t="shared" si="1"/>
        <v>0.05</v>
      </c>
      <c r="I12" s="16">
        <f t="shared" si="2"/>
        <v>0</v>
      </c>
      <c r="J12" s="16">
        <f>ROUND(G12/23-1,2)</f>
        <v>-0.43</v>
      </c>
    </row>
    <row r="13" spans="1:10" x14ac:dyDescent="0.25">
      <c r="A13" s="1" t="s">
        <v>16</v>
      </c>
      <c r="B13" s="1" t="s">
        <v>22</v>
      </c>
      <c r="C13" s="11"/>
      <c r="D13" s="11"/>
      <c r="E13" s="11">
        <v>129</v>
      </c>
      <c r="F13" s="11"/>
      <c r="G13" s="11">
        <f t="shared" si="0"/>
        <v>129</v>
      </c>
      <c r="H13" s="17">
        <f t="shared" si="1"/>
        <v>0.51</v>
      </c>
      <c r="I13" s="16">
        <f t="shared" si="2"/>
        <v>2E-3</v>
      </c>
      <c r="J13" s="16">
        <f>ROUND(G13/389-1,2)</f>
        <v>-0.67</v>
      </c>
    </row>
    <row r="14" spans="1:10" x14ac:dyDescent="0.25">
      <c r="A14" s="1" t="s">
        <v>16</v>
      </c>
      <c r="B14" s="1" t="s">
        <v>23</v>
      </c>
      <c r="C14" s="11"/>
      <c r="D14" s="11"/>
      <c r="E14" s="11">
        <v>2913</v>
      </c>
      <c r="F14" s="11"/>
      <c r="G14" s="11">
        <f t="shared" si="0"/>
        <v>2913</v>
      </c>
      <c r="H14" s="17">
        <f t="shared" si="1"/>
        <v>11.47</v>
      </c>
      <c r="I14" s="16">
        <f t="shared" si="2"/>
        <v>3.5000000000000003E-2</v>
      </c>
      <c r="J14" s="16">
        <f>ROUND(G14/7157-1,2)</f>
        <v>-0.59</v>
      </c>
    </row>
    <row r="15" spans="1:10" x14ac:dyDescent="0.25">
      <c r="A15" s="1" t="s">
        <v>16</v>
      </c>
      <c r="B15" s="1" t="s">
        <v>24</v>
      </c>
      <c r="C15" s="11">
        <v>8870</v>
      </c>
      <c r="D15" s="11"/>
      <c r="E15" s="11">
        <v>537</v>
      </c>
      <c r="F15" s="11"/>
      <c r="G15" s="11">
        <f t="shared" si="0"/>
        <v>9407</v>
      </c>
      <c r="H15" s="17">
        <f t="shared" si="1"/>
        <v>37.04</v>
      </c>
      <c r="I15" s="16">
        <f t="shared" si="2"/>
        <v>0.113</v>
      </c>
      <c r="J15" s="16">
        <f>ROUND(G15/11592-1,2)</f>
        <v>-0.19</v>
      </c>
    </row>
    <row r="16" spans="1:10" x14ac:dyDescent="0.25">
      <c r="A16" s="1" t="s">
        <v>16</v>
      </c>
      <c r="B16" s="1" t="s">
        <v>25</v>
      </c>
      <c r="C16" s="11"/>
      <c r="D16" s="11"/>
      <c r="E16" s="11">
        <v>152</v>
      </c>
      <c r="F16" s="11"/>
      <c r="G16" s="11">
        <f t="shared" si="0"/>
        <v>152</v>
      </c>
      <c r="H16" s="17">
        <f t="shared" si="1"/>
        <v>0.6</v>
      </c>
      <c r="I16" s="16">
        <f t="shared" si="2"/>
        <v>2E-3</v>
      </c>
      <c r="J16" s="16">
        <f>ROUND(G16/412-1,2)</f>
        <v>-0.63</v>
      </c>
    </row>
    <row r="17" spans="1:10" x14ac:dyDescent="0.25">
      <c r="A17" s="1" t="s">
        <v>16</v>
      </c>
      <c r="B17" s="1" t="s">
        <v>26</v>
      </c>
      <c r="C17" s="11">
        <v>14390</v>
      </c>
      <c r="D17" s="11"/>
      <c r="E17" s="11"/>
      <c r="F17" s="11"/>
      <c r="G17" s="11">
        <f t="shared" si="0"/>
        <v>14390</v>
      </c>
      <c r="H17" s="17">
        <f t="shared" si="1"/>
        <v>56.65</v>
      </c>
      <c r="I17" s="16">
        <f t="shared" si="2"/>
        <v>0.17299999999999999</v>
      </c>
      <c r="J17" s="16">
        <f>ROUND(G17/14190-1,2)</f>
        <v>0.01</v>
      </c>
    </row>
    <row r="18" spans="1:10" x14ac:dyDescent="0.25">
      <c r="A18" s="1" t="s">
        <v>16</v>
      </c>
      <c r="B18" s="1" t="s">
        <v>27</v>
      </c>
      <c r="C18" s="11"/>
      <c r="D18" s="11"/>
      <c r="E18" s="11">
        <v>50</v>
      </c>
      <c r="F18" s="11"/>
      <c r="G18" s="11">
        <f t="shared" si="0"/>
        <v>50</v>
      </c>
      <c r="H18" s="17">
        <f t="shared" si="1"/>
        <v>0.2</v>
      </c>
      <c r="I18" s="16">
        <f t="shared" si="2"/>
        <v>1E-3</v>
      </c>
      <c r="J18" s="16">
        <f>ROUND(G18/92-1,2)</f>
        <v>-0.46</v>
      </c>
    </row>
    <row r="19" spans="1:10" x14ac:dyDescent="0.25">
      <c r="A19" s="1" t="s">
        <v>16</v>
      </c>
      <c r="B19" s="1" t="s">
        <v>28</v>
      </c>
      <c r="C19" s="11"/>
      <c r="D19" s="11"/>
      <c r="E19" s="11">
        <v>23</v>
      </c>
      <c r="F19" s="11"/>
      <c r="G19" s="11">
        <f t="shared" si="0"/>
        <v>23</v>
      </c>
      <c r="H19" s="17">
        <f t="shared" si="1"/>
        <v>0.09</v>
      </c>
      <c r="I19" s="16">
        <f t="shared" si="2"/>
        <v>0</v>
      </c>
      <c r="J19" s="16">
        <f>ROUND(G19/57-1,2)</f>
        <v>-0.6</v>
      </c>
    </row>
    <row r="20" spans="1:10" x14ac:dyDescent="0.25">
      <c r="A20" s="1" t="s">
        <v>16</v>
      </c>
      <c r="B20" s="1" t="s">
        <v>30</v>
      </c>
      <c r="C20" s="11"/>
      <c r="D20" s="11"/>
      <c r="E20" s="11">
        <v>169</v>
      </c>
      <c r="F20" s="11"/>
      <c r="G20" s="11">
        <f t="shared" si="0"/>
        <v>169</v>
      </c>
      <c r="H20" s="17">
        <f t="shared" si="1"/>
        <v>0.67</v>
      </c>
      <c r="I20" s="16">
        <f t="shared" si="2"/>
        <v>2E-3</v>
      </c>
      <c r="J20" s="16">
        <f>ROUND(G20/521-1,2)</f>
        <v>-0.68</v>
      </c>
    </row>
    <row r="21" spans="1:10" x14ac:dyDescent="0.25">
      <c r="A21" s="1" t="s">
        <v>16</v>
      </c>
      <c r="B21" s="1" t="s">
        <v>31</v>
      </c>
      <c r="C21" s="11"/>
      <c r="D21" s="11"/>
      <c r="E21" s="11">
        <v>52</v>
      </c>
      <c r="F21" s="11"/>
      <c r="G21" s="11">
        <f t="shared" si="0"/>
        <v>52</v>
      </c>
      <c r="H21" s="17">
        <f t="shared" si="1"/>
        <v>0.2</v>
      </c>
      <c r="I21" s="16">
        <f t="shared" si="2"/>
        <v>1E-3</v>
      </c>
      <c r="J21" s="16">
        <f>ROUND(G21/59-1,2)</f>
        <v>-0.12</v>
      </c>
    </row>
    <row r="22" spans="1:10" x14ac:dyDescent="0.25">
      <c r="A22" s="1" t="s">
        <v>16</v>
      </c>
      <c r="B22" s="1" t="s">
        <v>33</v>
      </c>
      <c r="C22" s="11"/>
      <c r="D22" s="11"/>
      <c r="E22" s="11">
        <v>81</v>
      </c>
      <c r="F22" s="11"/>
      <c r="G22" s="11">
        <f t="shared" si="0"/>
        <v>81</v>
      </c>
      <c r="H22" s="17">
        <f t="shared" si="1"/>
        <v>0.32</v>
      </c>
      <c r="I22" s="16">
        <f t="shared" si="2"/>
        <v>1E-3</v>
      </c>
      <c r="J22" s="16">
        <f>ROUND(G22/153-1,2)</f>
        <v>-0.47</v>
      </c>
    </row>
    <row r="23" spans="1:10" x14ac:dyDescent="0.25">
      <c r="A23" s="1" t="s">
        <v>16</v>
      </c>
      <c r="B23" s="1" t="s">
        <v>34</v>
      </c>
      <c r="C23" s="11"/>
      <c r="D23" s="11"/>
      <c r="E23" s="11">
        <v>4</v>
      </c>
      <c r="F23" s="11"/>
      <c r="G23" s="11">
        <f t="shared" si="0"/>
        <v>4</v>
      </c>
      <c r="H23" s="17">
        <f t="shared" si="1"/>
        <v>0.02</v>
      </c>
      <c r="I23" s="16">
        <f t="shared" si="2"/>
        <v>0</v>
      </c>
      <c r="J23" s="16">
        <f>ROUND(G23/24-1,2)</f>
        <v>-0.83</v>
      </c>
    </row>
    <row r="24" spans="1:10" x14ac:dyDescent="0.25">
      <c r="A24" s="1" t="s">
        <v>16</v>
      </c>
      <c r="B24" s="1" t="s">
        <v>35</v>
      </c>
      <c r="C24" s="11"/>
      <c r="D24" s="11"/>
      <c r="E24" s="11">
        <v>108</v>
      </c>
      <c r="F24" s="11"/>
      <c r="G24" s="11">
        <f t="shared" si="0"/>
        <v>108</v>
      </c>
      <c r="H24" s="17">
        <f t="shared" si="1"/>
        <v>0.43</v>
      </c>
      <c r="I24" s="16">
        <f t="shared" si="2"/>
        <v>1E-3</v>
      </c>
      <c r="J24" s="16"/>
    </row>
    <row r="25" spans="1:10" x14ac:dyDescent="0.25">
      <c r="A25" s="1" t="s">
        <v>16</v>
      </c>
      <c r="B25" s="1" t="s">
        <v>37</v>
      </c>
      <c r="C25" s="11"/>
      <c r="D25" s="11"/>
      <c r="E25" s="11">
        <v>44</v>
      </c>
      <c r="F25" s="11"/>
      <c r="G25" s="11">
        <f t="shared" si="0"/>
        <v>44</v>
      </c>
      <c r="H25" s="17">
        <f t="shared" si="1"/>
        <v>0.17</v>
      </c>
      <c r="I25" s="16">
        <f t="shared" si="2"/>
        <v>1E-3</v>
      </c>
      <c r="J25" s="16">
        <f>ROUND(G25/162-1,2)</f>
        <v>-0.73</v>
      </c>
    </row>
    <row r="26" spans="1:10" x14ac:dyDescent="0.25">
      <c r="A26" s="1" t="s">
        <v>16</v>
      </c>
      <c r="B26" s="1" t="s">
        <v>39</v>
      </c>
      <c r="C26" s="11"/>
      <c r="D26" s="11"/>
      <c r="E26" s="11">
        <v>372</v>
      </c>
      <c r="F26" s="11"/>
      <c r="G26" s="11">
        <f t="shared" si="0"/>
        <v>372</v>
      </c>
      <c r="H26" s="17">
        <f t="shared" si="1"/>
        <v>1.46</v>
      </c>
      <c r="I26" s="16">
        <f t="shared" si="2"/>
        <v>4.0000000000000001E-3</v>
      </c>
      <c r="J26" s="16">
        <f>ROUND(G26/773-1,2)</f>
        <v>-0.52</v>
      </c>
    </row>
    <row r="27" spans="1:10" x14ac:dyDescent="0.25">
      <c r="A27" s="1" t="s">
        <v>16</v>
      </c>
      <c r="B27" s="1" t="s">
        <v>38</v>
      </c>
      <c r="C27" s="11"/>
      <c r="D27" s="11"/>
      <c r="E27" s="11">
        <v>268</v>
      </c>
      <c r="F27" s="11"/>
      <c r="G27" s="11">
        <f t="shared" si="0"/>
        <v>268</v>
      </c>
      <c r="H27" s="17">
        <f t="shared" si="1"/>
        <v>1.06</v>
      </c>
      <c r="I27" s="16">
        <f t="shared" si="2"/>
        <v>3.0000000000000001E-3</v>
      </c>
      <c r="J27" s="16">
        <f>ROUND(G27/851-1,2)</f>
        <v>-0.69</v>
      </c>
    </row>
    <row r="28" spans="1:10" x14ac:dyDescent="0.25">
      <c r="A28" s="1" t="s">
        <v>16</v>
      </c>
      <c r="B28" s="1" t="s">
        <v>40</v>
      </c>
      <c r="C28" s="11"/>
      <c r="D28" s="11"/>
      <c r="E28" s="11">
        <v>2541</v>
      </c>
      <c r="F28" s="11"/>
      <c r="G28" s="11">
        <f t="shared" si="0"/>
        <v>2541</v>
      </c>
      <c r="H28" s="17">
        <f t="shared" si="1"/>
        <v>10</v>
      </c>
      <c r="I28" s="16">
        <f t="shared" si="2"/>
        <v>0.03</v>
      </c>
      <c r="J28" s="16">
        <f>ROUND(G28/7300-1,2)</f>
        <v>-0.65</v>
      </c>
    </row>
    <row r="29" spans="1:10" x14ac:dyDescent="0.25">
      <c r="A29" s="1" t="s">
        <v>16</v>
      </c>
      <c r="B29" s="1" t="s">
        <v>41</v>
      </c>
      <c r="C29" s="11"/>
      <c r="D29" s="11"/>
      <c r="E29" s="11">
        <v>299</v>
      </c>
      <c r="F29" s="11"/>
      <c r="G29" s="11">
        <f t="shared" si="0"/>
        <v>299</v>
      </c>
      <c r="H29" s="17">
        <f t="shared" si="1"/>
        <v>1.18</v>
      </c>
      <c r="I29" s="16">
        <f t="shared" si="2"/>
        <v>4.0000000000000001E-3</v>
      </c>
      <c r="J29" s="16"/>
    </row>
    <row r="30" spans="1:10" x14ac:dyDescent="0.25">
      <c r="A30" s="1" t="s">
        <v>16</v>
      </c>
      <c r="B30" s="1" t="s">
        <v>42</v>
      </c>
      <c r="C30" s="11"/>
      <c r="D30" s="11"/>
      <c r="E30" s="11">
        <v>1210</v>
      </c>
      <c r="F30" s="11"/>
      <c r="G30" s="11">
        <f t="shared" si="0"/>
        <v>1210</v>
      </c>
      <c r="H30" s="17">
        <f t="shared" si="1"/>
        <v>4.76</v>
      </c>
      <c r="I30" s="16">
        <f t="shared" si="2"/>
        <v>1.4999999999999999E-2</v>
      </c>
      <c r="J30" s="16">
        <f>ROUND(G30/2652-1,2)</f>
        <v>-0.54</v>
      </c>
    </row>
    <row r="31" spans="1:10" x14ac:dyDescent="0.25">
      <c r="A31" s="1" t="s">
        <v>16</v>
      </c>
      <c r="B31" s="1" t="s">
        <v>44</v>
      </c>
      <c r="C31" s="11"/>
      <c r="D31" s="11"/>
      <c r="E31" s="11">
        <v>411</v>
      </c>
      <c r="F31" s="11"/>
      <c r="G31" s="11">
        <f t="shared" si="0"/>
        <v>411</v>
      </c>
      <c r="H31" s="17">
        <f t="shared" si="1"/>
        <v>1.62</v>
      </c>
      <c r="I31" s="16">
        <f t="shared" si="2"/>
        <v>5.0000000000000001E-3</v>
      </c>
      <c r="J31" s="16">
        <f>ROUND(G31/4323-1,2)</f>
        <v>-0.9</v>
      </c>
    </row>
    <row r="32" spans="1:10" x14ac:dyDescent="0.25">
      <c r="A32" s="1" t="s">
        <v>16</v>
      </c>
      <c r="B32" s="1" t="s">
        <v>32</v>
      </c>
      <c r="C32" s="11"/>
      <c r="D32" s="11"/>
      <c r="E32" s="11"/>
      <c r="F32" s="11"/>
      <c r="G32" s="11">
        <f t="shared" si="0"/>
        <v>0</v>
      </c>
      <c r="H32" s="17">
        <f t="shared" si="1"/>
        <v>0</v>
      </c>
      <c r="I32" s="16">
        <f t="shared" si="2"/>
        <v>0</v>
      </c>
      <c r="J32" s="16">
        <f>ROUND(G32/53-1,2)</f>
        <v>-1</v>
      </c>
    </row>
    <row r="33" spans="1:10" x14ac:dyDescent="0.25">
      <c r="A33" s="1" t="s">
        <v>16</v>
      </c>
      <c r="B33" s="1" t="s">
        <v>29</v>
      </c>
      <c r="C33" s="11"/>
      <c r="D33" s="11"/>
      <c r="E33" s="11"/>
      <c r="F33" s="11"/>
      <c r="G33" s="11">
        <f t="shared" si="0"/>
        <v>0</v>
      </c>
      <c r="H33" s="17">
        <f t="shared" si="1"/>
        <v>0</v>
      </c>
      <c r="I33" s="16">
        <f t="shared" si="2"/>
        <v>0</v>
      </c>
      <c r="J33" s="16">
        <f>ROUND(G33/16-1,2)</f>
        <v>-1</v>
      </c>
    </row>
    <row r="34" spans="1:10" x14ac:dyDescent="0.25">
      <c r="A34" s="1" t="s">
        <v>16</v>
      </c>
      <c r="B34" s="1" t="s">
        <v>36</v>
      </c>
      <c r="C34" s="11"/>
      <c r="D34" s="11"/>
      <c r="E34" s="11"/>
      <c r="F34" s="11"/>
      <c r="G34" s="11">
        <f t="shared" si="0"/>
        <v>0</v>
      </c>
      <c r="H34" s="17">
        <f t="shared" si="1"/>
        <v>0</v>
      </c>
      <c r="I34" s="16">
        <f t="shared" si="2"/>
        <v>0</v>
      </c>
      <c r="J34" s="16">
        <f>ROUND(G34/34-1,2)</f>
        <v>-1</v>
      </c>
    </row>
    <row r="35" spans="1:10" x14ac:dyDescent="0.25">
      <c r="A35" s="1" t="s">
        <v>45</v>
      </c>
      <c r="B35" s="1" t="s">
        <v>46</v>
      </c>
      <c r="C35" s="11">
        <v>26990</v>
      </c>
      <c r="D35" s="11"/>
      <c r="E35" s="11"/>
      <c r="F35" s="11"/>
      <c r="G35" s="11">
        <f t="shared" si="0"/>
        <v>26990</v>
      </c>
      <c r="H35" s="17">
        <f t="shared" si="1"/>
        <v>106.26</v>
      </c>
      <c r="I35" s="16">
        <f t="shared" si="2"/>
        <v>0.32400000000000001</v>
      </c>
      <c r="J35" s="16">
        <f>ROUND(G35/29160-1,2)</f>
        <v>-7.0000000000000007E-2</v>
      </c>
    </row>
    <row r="36" spans="1:10" x14ac:dyDescent="0.25">
      <c r="A36" s="1" t="s">
        <v>45</v>
      </c>
      <c r="B36" s="1" t="s">
        <v>47</v>
      </c>
      <c r="C36" s="11"/>
      <c r="D36" s="11"/>
      <c r="E36" s="11">
        <v>1869</v>
      </c>
      <c r="F36" s="11"/>
      <c r="G36" s="11">
        <f t="shared" si="0"/>
        <v>1869</v>
      </c>
      <c r="H36" s="17">
        <f t="shared" si="1"/>
        <v>7.36</v>
      </c>
      <c r="I36" s="16">
        <f t="shared" si="2"/>
        <v>2.1999999999999999E-2</v>
      </c>
      <c r="J36" s="16">
        <f>ROUND(G36/4315-1,2)</f>
        <v>-0.56999999999999995</v>
      </c>
    </row>
    <row r="37" spans="1:10" x14ac:dyDescent="0.25">
      <c r="A37" s="1" t="s">
        <v>45</v>
      </c>
      <c r="B37" s="1" t="s">
        <v>48</v>
      </c>
      <c r="C37" s="11"/>
      <c r="D37" s="11"/>
      <c r="E37" s="11"/>
      <c r="F37" s="11"/>
      <c r="G37" s="11">
        <f t="shared" si="0"/>
        <v>0</v>
      </c>
      <c r="H37" s="17">
        <f t="shared" si="1"/>
        <v>0</v>
      </c>
      <c r="I37" s="16">
        <f t="shared" si="2"/>
        <v>0</v>
      </c>
      <c r="J37" s="16"/>
    </row>
    <row r="38" spans="1:10" x14ac:dyDescent="0.25">
      <c r="A38" s="1" t="s">
        <v>49</v>
      </c>
      <c r="B38" s="1" t="s">
        <v>52</v>
      </c>
      <c r="C38" s="11"/>
      <c r="D38" s="11"/>
      <c r="E38" s="11"/>
      <c r="F38" s="11"/>
      <c r="G38" s="11">
        <f t="shared" si="0"/>
        <v>0</v>
      </c>
      <c r="H38" s="17">
        <f t="shared" si="1"/>
        <v>0</v>
      </c>
      <c r="I38" s="16">
        <f t="shared" si="2"/>
        <v>0</v>
      </c>
      <c r="J38" s="16"/>
    </row>
    <row r="39" spans="1:10" x14ac:dyDescent="0.25">
      <c r="A39" s="26" t="s">
        <v>12</v>
      </c>
      <c r="B39" s="26"/>
      <c r="C39" s="12">
        <f t="shared" ref="C39:H39" si="3">SUM(C8:C38)</f>
        <v>71820</v>
      </c>
      <c r="D39" s="12">
        <f t="shared" si="3"/>
        <v>0</v>
      </c>
      <c r="E39" s="12">
        <f t="shared" si="3"/>
        <v>11495</v>
      </c>
      <c r="F39" s="12">
        <f t="shared" si="3"/>
        <v>0</v>
      </c>
      <c r="G39" s="12">
        <f t="shared" si="3"/>
        <v>83315</v>
      </c>
      <c r="H39" s="15">
        <f t="shared" si="3"/>
        <v>328.03</v>
      </c>
      <c r="I39" s="18"/>
      <c r="J39" s="18"/>
    </row>
    <row r="40" spans="1:10" x14ac:dyDescent="0.25">
      <c r="A40" s="26" t="s">
        <v>14</v>
      </c>
      <c r="B40" s="26"/>
      <c r="C40" s="13">
        <f>ROUND(C39/G39,2)</f>
        <v>0.86</v>
      </c>
      <c r="D40" s="13">
        <f>ROUND(D39/G39,2)</f>
        <v>0</v>
      </c>
      <c r="E40" s="13">
        <f>ROUND(E39/G39,2)</f>
        <v>0.14000000000000001</v>
      </c>
      <c r="F40" s="13">
        <f>ROUND(F39/G39,2)</f>
        <v>0</v>
      </c>
      <c r="G40" s="14"/>
      <c r="H40" s="14"/>
      <c r="I40" s="18"/>
      <c r="J40" s="18"/>
    </row>
    <row r="41" spans="1:10" x14ac:dyDescent="0.25">
      <c r="A41" s="2" t="s">
        <v>53</v>
      </c>
      <c r="B41" s="2"/>
      <c r="C41" s="14"/>
      <c r="D41" s="14"/>
      <c r="E41" s="14"/>
      <c r="F41" s="14"/>
      <c r="G41" s="14"/>
      <c r="H41" s="14"/>
      <c r="I41" s="18"/>
      <c r="J41" s="18"/>
    </row>
    <row r="42" spans="1:10" x14ac:dyDescent="0.25">
      <c r="C42" s="9"/>
      <c r="D42" s="9"/>
      <c r="E42" s="9"/>
      <c r="F42" s="9"/>
      <c r="G42" s="9"/>
      <c r="H42" s="9"/>
      <c r="I42" s="10"/>
      <c r="J42" s="10"/>
    </row>
    <row r="43" spans="1:10" x14ac:dyDescent="0.25">
      <c r="C43" s="9"/>
      <c r="D43" s="9"/>
      <c r="E43" s="9"/>
      <c r="F43" s="9"/>
      <c r="G43" s="9"/>
      <c r="H43" s="9"/>
      <c r="I43" s="10"/>
      <c r="J43" s="10"/>
    </row>
    <row r="44" spans="1:10" x14ac:dyDescent="0.25">
      <c r="C44" s="9"/>
      <c r="D44" s="9"/>
      <c r="E44" s="9"/>
      <c r="F44" s="9"/>
      <c r="G44" s="9"/>
      <c r="H44" s="9"/>
      <c r="I44" s="10"/>
      <c r="J44" s="10"/>
    </row>
    <row r="45" spans="1:10" x14ac:dyDescent="0.25">
      <c r="A45" s="26" t="s">
        <v>54</v>
      </c>
      <c r="B45" s="26"/>
      <c r="C45" s="12" t="s">
        <v>8</v>
      </c>
      <c r="D45" s="12" t="s">
        <v>9</v>
      </c>
      <c r="E45" s="12" t="s">
        <v>10</v>
      </c>
      <c r="F45" s="12" t="s">
        <v>11</v>
      </c>
      <c r="G45" s="12" t="s">
        <v>12</v>
      </c>
      <c r="H45" s="15" t="s">
        <v>13</v>
      </c>
      <c r="I45" s="18"/>
      <c r="J45" s="18"/>
    </row>
    <row r="46" spans="1:10" x14ac:dyDescent="0.25">
      <c r="A46" s="21" t="s">
        <v>55</v>
      </c>
      <c r="B46" s="21"/>
      <c r="C46" s="11">
        <v>44830</v>
      </c>
      <c r="D46" s="11">
        <v>0</v>
      </c>
      <c r="E46" s="11">
        <v>9626</v>
      </c>
      <c r="F46" s="11">
        <v>0</v>
      </c>
      <c r="G46" s="11">
        <f>SUM(C46:F46)</f>
        <v>54456</v>
      </c>
      <c r="H46" s="17">
        <f>ROUND(G46/254,2)</f>
        <v>214.39</v>
      </c>
      <c r="I46" s="10"/>
      <c r="J46" s="10"/>
    </row>
    <row r="47" spans="1:10" x14ac:dyDescent="0.25">
      <c r="A47" s="21" t="s">
        <v>56</v>
      </c>
      <c r="B47" s="21"/>
      <c r="C47" s="11">
        <v>26990</v>
      </c>
      <c r="D47" s="11">
        <v>0</v>
      </c>
      <c r="E47" s="11">
        <v>1869</v>
      </c>
      <c r="F47" s="11">
        <v>0</v>
      </c>
      <c r="G47" s="11">
        <f>SUM(C47:F47)</f>
        <v>28859</v>
      </c>
      <c r="H47" s="17">
        <f>ROUND(G47/254,2)</f>
        <v>113.62</v>
      </c>
      <c r="I47" s="10"/>
      <c r="J47" s="10"/>
    </row>
    <row r="48" spans="1:10" x14ac:dyDescent="0.25">
      <c r="A48" s="21" t="s">
        <v>57</v>
      </c>
      <c r="B48" s="21"/>
      <c r="C48" s="11">
        <v>0</v>
      </c>
      <c r="D48" s="11">
        <v>0</v>
      </c>
      <c r="E48" s="11">
        <v>0</v>
      </c>
      <c r="F48" s="11">
        <v>0</v>
      </c>
      <c r="G48" s="11">
        <f>SUM(C48:F48)</f>
        <v>0</v>
      </c>
      <c r="H48" s="17">
        <f>ROUND(G48/254,2)</f>
        <v>0</v>
      </c>
      <c r="I48" s="10"/>
      <c r="J48" s="10"/>
    </row>
    <row r="49" spans="1:10" x14ac:dyDescent="0.25">
      <c r="C49" s="9"/>
      <c r="D49" s="9"/>
      <c r="E49" s="9"/>
      <c r="F49" s="9"/>
      <c r="G49" s="9"/>
      <c r="H49" s="9"/>
      <c r="I49" s="10"/>
      <c r="J49" s="10"/>
    </row>
    <row r="50" spans="1:10" x14ac:dyDescent="0.25">
      <c r="C50" s="9"/>
      <c r="D50" s="9"/>
      <c r="E50" s="9"/>
      <c r="F50" s="9"/>
      <c r="G50" s="9"/>
      <c r="H50" s="9"/>
      <c r="I50" s="10"/>
      <c r="J50" s="10"/>
    </row>
    <row r="51" spans="1:10" x14ac:dyDescent="0.25">
      <c r="C51" s="9"/>
      <c r="D51" s="9"/>
      <c r="E51" s="9"/>
      <c r="F51" s="9"/>
      <c r="G51" s="9"/>
      <c r="H51" s="9"/>
      <c r="I51" s="10"/>
      <c r="J51" s="10"/>
    </row>
    <row r="52" spans="1:10" x14ac:dyDescent="0.25">
      <c r="C52" s="9"/>
      <c r="D52" s="9"/>
      <c r="E52" s="9"/>
      <c r="F52" s="9"/>
      <c r="G52" s="9"/>
      <c r="H52" s="9"/>
      <c r="I52" s="10"/>
      <c r="J52" s="10"/>
    </row>
    <row r="53" spans="1:10" x14ac:dyDescent="0.25">
      <c r="A53" s="26" t="s">
        <v>58</v>
      </c>
      <c r="B53" s="26"/>
      <c r="C53" s="15" t="s">
        <v>2</v>
      </c>
      <c r="D53" s="15">
        <v>2024</v>
      </c>
      <c r="E53" s="15" t="s">
        <v>60</v>
      </c>
      <c r="F53" s="14"/>
      <c r="G53" s="15" t="s">
        <v>61</v>
      </c>
      <c r="H53" s="15" t="s">
        <v>2</v>
      </c>
      <c r="I53" s="13" t="s">
        <v>62</v>
      </c>
      <c r="J53" s="13" t="s">
        <v>60</v>
      </c>
    </row>
    <row r="54" spans="1:10" x14ac:dyDescent="0.25">
      <c r="A54" s="21" t="s">
        <v>59</v>
      </c>
      <c r="B54" s="21"/>
      <c r="C54" s="16">
        <f>ROUND(0.6638, 4)</f>
        <v>0.66379999999999995</v>
      </c>
      <c r="D54" s="16">
        <f>ROUND(0.7078, 4)</f>
        <v>0.70779999999999998</v>
      </c>
      <c r="E54" s="16">
        <f>ROUND(0.7856, 4)</f>
        <v>0.78559999999999997</v>
      </c>
      <c r="F54" s="9"/>
      <c r="G54" s="15" t="s">
        <v>63</v>
      </c>
      <c r="H54" s="27" t="s">
        <v>64</v>
      </c>
      <c r="I54" s="24" t="s">
        <v>65</v>
      </c>
      <c r="J54" s="24" t="s">
        <v>66</v>
      </c>
    </row>
    <row r="55" spans="1:10" x14ac:dyDescent="0.25">
      <c r="A55" s="21" t="s">
        <v>67</v>
      </c>
      <c r="B55" s="21"/>
      <c r="C55" s="16">
        <f>ROUND(0.6638, 4)</f>
        <v>0.66379999999999995</v>
      </c>
      <c r="D55" s="16">
        <f>ROUND(0.6697, 4)</f>
        <v>0.66969999999999996</v>
      </c>
      <c r="E55" s="16">
        <f>ROUND(0.7702, 4)</f>
        <v>0.7702</v>
      </c>
      <c r="F55" s="9"/>
      <c r="G55" s="15" t="s">
        <v>68</v>
      </c>
      <c r="H55" s="28"/>
      <c r="I55" s="25"/>
      <c r="J55" s="25"/>
    </row>
    <row r="56" spans="1:10" x14ac:dyDescent="0.25">
      <c r="C56" s="9"/>
      <c r="D56" s="9"/>
      <c r="E56" s="9"/>
      <c r="F56" s="9"/>
      <c r="G56" s="9"/>
      <c r="H56" s="9"/>
      <c r="I56" s="10"/>
      <c r="J56" s="10"/>
    </row>
    <row r="57" spans="1:10" x14ac:dyDescent="0.25">
      <c r="C57" s="9"/>
      <c r="D57" s="9"/>
      <c r="E57" s="9"/>
      <c r="F57" s="9"/>
      <c r="G57" s="9"/>
      <c r="H57" s="9"/>
      <c r="I57" s="10"/>
      <c r="J57" s="10"/>
    </row>
    <row r="58" spans="1:10" x14ac:dyDescent="0.25">
      <c r="C58" s="9"/>
      <c r="D58" s="9"/>
      <c r="E58" s="9"/>
      <c r="F58" s="9"/>
      <c r="G58" s="9"/>
      <c r="H58" s="9"/>
      <c r="I58" s="10"/>
      <c r="J58" s="10"/>
    </row>
    <row r="59" spans="1:10" x14ac:dyDescent="0.25">
      <c r="A59" s="26" t="s">
        <v>69</v>
      </c>
      <c r="B59" s="26"/>
      <c r="C59" s="15" t="s">
        <v>2</v>
      </c>
      <c r="D59" s="15" t="s">
        <v>267</v>
      </c>
      <c r="E59" s="15" t="s">
        <v>71</v>
      </c>
      <c r="F59" s="15" t="s">
        <v>72</v>
      </c>
      <c r="G59" s="15" t="s">
        <v>73</v>
      </c>
      <c r="H59" s="14"/>
      <c r="I59" s="18"/>
      <c r="J59" s="18"/>
    </row>
    <row r="60" spans="1:10" x14ac:dyDescent="0.25">
      <c r="A60" s="21" t="s">
        <v>74</v>
      </c>
      <c r="B60" s="21"/>
      <c r="C60" s="17">
        <v>106.26</v>
      </c>
      <c r="D60" s="17">
        <v>112.6</v>
      </c>
      <c r="E60" s="17">
        <v>96.15</v>
      </c>
      <c r="F60" s="17">
        <v>57.94</v>
      </c>
      <c r="G60" s="17">
        <f>12/12*C60</f>
        <v>106.26</v>
      </c>
      <c r="H60" s="9"/>
      <c r="I60" s="10"/>
      <c r="J60" s="10"/>
    </row>
    <row r="61" spans="1:10" x14ac:dyDescent="0.25">
      <c r="A61" s="21" t="s">
        <v>75</v>
      </c>
      <c r="B61" s="21"/>
      <c r="C61" s="17">
        <v>56.65</v>
      </c>
      <c r="D61" s="17">
        <v>69.22</v>
      </c>
      <c r="E61" s="17">
        <v>62.28</v>
      </c>
      <c r="F61" s="17">
        <v>66.599999999999994</v>
      </c>
      <c r="G61" s="17">
        <f>12/12*C61</f>
        <v>56.65</v>
      </c>
      <c r="H61" s="9"/>
      <c r="I61" s="10"/>
      <c r="J61" s="10"/>
    </row>
    <row r="62" spans="1:10" x14ac:dyDescent="0.25">
      <c r="A62" s="21" t="s">
        <v>76</v>
      </c>
      <c r="B62" s="21"/>
      <c r="C62" s="17">
        <v>214.39</v>
      </c>
      <c r="D62" s="17">
        <v>275.91000000000003</v>
      </c>
      <c r="E62" s="17">
        <v>300.02</v>
      </c>
      <c r="F62" s="17">
        <v>295.08</v>
      </c>
      <c r="G62" s="17">
        <f>12/12*C62</f>
        <v>214.39</v>
      </c>
      <c r="H62" s="9"/>
      <c r="I62" s="10"/>
      <c r="J62" s="10"/>
    </row>
    <row r="63" spans="1:10" x14ac:dyDescent="0.25">
      <c r="A63" s="21" t="s">
        <v>77</v>
      </c>
      <c r="B63" s="21"/>
      <c r="C63" s="17">
        <v>113.62</v>
      </c>
      <c r="D63" s="17">
        <v>126.87</v>
      </c>
      <c r="E63" s="17">
        <v>120.96</v>
      </c>
      <c r="F63" s="17">
        <v>83.12</v>
      </c>
      <c r="G63" s="17">
        <f>12/12*C63</f>
        <v>113.62</v>
      </c>
      <c r="H63" s="9"/>
      <c r="I63" s="10"/>
      <c r="J63" s="10"/>
    </row>
    <row r="64" spans="1:10" x14ac:dyDescent="0.25">
      <c r="C64" s="9"/>
      <c r="D64" s="9"/>
      <c r="E64" s="9"/>
      <c r="F64" s="9"/>
      <c r="G64" s="9"/>
      <c r="H64" s="9"/>
      <c r="I64" s="10"/>
      <c r="J64" s="10"/>
    </row>
    <row r="65" spans="1:10" x14ac:dyDescent="0.25">
      <c r="C65" s="9"/>
      <c r="D65" s="9"/>
      <c r="E65" s="9"/>
      <c r="F65" s="9"/>
      <c r="G65" s="9"/>
      <c r="H65" s="9"/>
      <c r="I65" s="10"/>
      <c r="J65" s="10"/>
    </row>
    <row r="66" spans="1:10" x14ac:dyDescent="0.25">
      <c r="A66" s="22" t="s">
        <v>61</v>
      </c>
      <c r="B66" s="23"/>
      <c r="C66" s="9"/>
      <c r="D66" s="9"/>
      <c r="E66" s="9"/>
      <c r="F66" s="9"/>
      <c r="G66" s="9"/>
      <c r="H66" s="9"/>
      <c r="I66" s="10"/>
      <c r="J66" s="10"/>
    </row>
    <row r="67" spans="1:10" x14ac:dyDescent="0.25">
      <c r="A67" s="3" t="s">
        <v>78</v>
      </c>
      <c r="B67" s="1" t="s">
        <v>268</v>
      </c>
      <c r="C67" s="9"/>
      <c r="D67" s="9"/>
      <c r="E67" s="9"/>
      <c r="F67" s="9"/>
      <c r="G67" s="9"/>
      <c r="H67" s="9"/>
      <c r="I67" s="10"/>
      <c r="J67" s="10"/>
    </row>
    <row r="68" spans="1:10" x14ac:dyDescent="0.25">
      <c r="A68" s="3" t="s">
        <v>71</v>
      </c>
      <c r="B68" s="1" t="s">
        <v>80</v>
      </c>
      <c r="C68" s="9"/>
      <c r="D68" s="9"/>
      <c r="E68" s="9"/>
      <c r="F68" s="9"/>
      <c r="G68" s="9"/>
      <c r="H68" s="9"/>
      <c r="I68" s="10"/>
      <c r="J68" s="10"/>
    </row>
    <row r="69" spans="1:10" x14ac:dyDescent="0.25">
      <c r="A69" s="3" t="s">
        <v>72</v>
      </c>
      <c r="B69" s="1" t="s">
        <v>81</v>
      </c>
      <c r="C69" s="9"/>
      <c r="D69" s="9"/>
      <c r="E69" s="9"/>
      <c r="F69" s="9"/>
      <c r="G69" s="9"/>
      <c r="H69" s="9"/>
      <c r="I69" s="10"/>
      <c r="J69" s="10"/>
    </row>
    <row r="70" spans="1:10" x14ac:dyDescent="0.25">
      <c r="A70" s="3" t="s">
        <v>73</v>
      </c>
      <c r="B70" s="1" t="s">
        <v>82</v>
      </c>
      <c r="C70" s="9"/>
      <c r="D70" s="9"/>
      <c r="E70" s="9"/>
      <c r="F70" s="9"/>
      <c r="G70" s="9"/>
      <c r="H70" s="9"/>
      <c r="I70" s="10"/>
      <c r="J70" s="10"/>
    </row>
  </sheetData>
  <mergeCells count="19">
    <mergeCell ref="C7:G7"/>
    <mergeCell ref="A39:B39"/>
    <mergeCell ref="A40:B40"/>
    <mergeCell ref="A45:B45"/>
    <mergeCell ref="A46:B46"/>
    <mergeCell ref="J54:J55"/>
    <mergeCell ref="A55:B55"/>
    <mergeCell ref="A59:B59"/>
    <mergeCell ref="A60:B60"/>
    <mergeCell ref="A47:B47"/>
    <mergeCell ref="A48:B48"/>
    <mergeCell ref="A53:B53"/>
    <mergeCell ref="A54:B54"/>
    <mergeCell ref="H54:H55"/>
    <mergeCell ref="A61:B61"/>
    <mergeCell ref="A62:B62"/>
    <mergeCell ref="A63:B63"/>
    <mergeCell ref="A66:B66"/>
    <mergeCell ref="I54:I55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J71"/>
  <sheetViews>
    <sheetView workbookViewId="0">
      <selection activeCell="H5" sqref="H5"/>
    </sheetView>
  </sheetViews>
  <sheetFormatPr defaultRowHeight="15" x14ac:dyDescent="0.25"/>
  <cols>
    <col min="1" max="1" width="28.42578125" bestFit="1" customWidth="1"/>
    <col min="2" max="2" width="59.5703125" bestFit="1" customWidth="1"/>
    <col min="3" max="3" width="12.7109375" bestFit="1" customWidth="1"/>
    <col min="4" max="4" width="23.85546875" bestFit="1" customWidth="1"/>
    <col min="5" max="5" width="13.85546875" bestFit="1" customWidth="1"/>
    <col min="6" max="6" width="8.5703125" bestFit="1" customWidth="1"/>
    <col min="7" max="7" width="47.7109375" bestFit="1" customWidth="1"/>
    <col min="8" max="9" width="16.7109375" bestFit="1" customWidth="1"/>
    <col min="10" max="10" width="24.42578125" bestFit="1" customWidth="1"/>
  </cols>
  <sheetData>
    <row r="2" spans="1:10" ht="18.75" x14ac:dyDescent="0.3">
      <c r="A2" s="3" t="s">
        <v>0</v>
      </c>
      <c r="B2" s="4" t="s">
        <v>269</v>
      </c>
    </row>
    <row r="3" spans="1:10" x14ac:dyDescent="0.25">
      <c r="A3" s="3" t="s">
        <v>2</v>
      </c>
      <c r="B3" s="1" t="s">
        <v>3</v>
      </c>
    </row>
    <row r="4" spans="1:10" x14ac:dyDescent="0.25">
      <c r="A4" s="3" t="s">
        <v>4</v>
      </c>
      <c r="B4" s="20">
        <v>2820</v>
      </c>
    </row>
    <row r="7" spans="1:10" x14ac:dyDescent="0.25">
      <c r="C7" s="22" t="s">
        <v>5</v>
      </c>
      <c r="D7" s="21"/>
      <c r="E7" s="21"/>
      <c r="F7" s="21"/>
      <c r="G7" s="21"/>
    </row>
    <row r="8" spans="1:10" x14ac:dyDescent="0.25">
      <c r="A8" s="3" t="s">
        <v>6</v>
      </c>
      <c r="B8" s="3" t="s">
        <v>7</v>
      </c>
      <c r="C8" s="15" t="s">
        <v>8</v>
      </c>
      <c r="D8" s="15" t="s">
        <v>9</v>
      </c>
      <c r="E8" s="15" t="s">
        <v>10</v>
      </c>
      <c r="F8" s="15" t="s">
        <v>11</v>
      </c>
      <c r="G8" s="15" t="s">
        <v>12</v>
      </c>
      <c r="H8" s="15" t="s">
        <v>13</v>
      </c>
      <c r="I8" s="15" t="s">
        <v>14</v>
      </c>
      <c r="J8" s="15" t="s">
        <v>15</v>
      </c>
    </row>
    <row r="9" spans="1:10" x14ac:dyDescent="0.25">
      <c r="A9" s="1" t="s">
        <v>16</v>
      </c>
      <c r="B9" s="1" t="s">
        <v>17</v>
      </c>
      <c r="C9" s="11"/>
      <c r="D9" s="11"/>
      <c r="E9" s="11">
        <v>81</v>
      </c>
      <c r="F9" s="11"/>
      <c r="G9" s="11">
        <f t="shared" ref="G9:G38" si="0">SUM(C9:F9)</f>
        <v>81</v>
      </c>
      <c r="H9" s="17">
        <f t="shared" ref="H9:H38" si="1">ROUND(G9/2820,2)</f>
        <v>0.03</v>
      </c>
      <c r="I9" s="16">
        <f t="shared" ref="I9:I38" si="2">ROUND(G9/$G$39,3)</f>
        <v>0</v>
      </c>
      <c r="J9" s="16">
        <f>ROUND(G9/94-1,2)</f>
        <v>-0.14000000000000001</v>
      </c>
    </row>
    <row r="10" spans="1:10" x14ac:dyDescent="0.25">
      <c r="A10" s="1" t="s">
        <v>16</v>
      </c>
      <c r="B10" s="1" t="s">
        <v>19</v>
      </c>
      <c r="C10" s="11">
        <v>88640</v>
      </c>
      <c r="D10" s="11"/>
      <c r="E10" s="11"/>
      <c r="F10" s="11"/>
      <c r="G10" s="11">
        <f t="shared" si="0"/>
        <v>88640</v>
      </c>
      <c r="H10" s="17">
        <f t="shared" si="1"/>
        <v>31.43</v>
      </c>
      <c r="I10" s="16">
        <f t="shared" si="2"/>
        <v>7.8E-2</v>
      </c>
      <c r="J10" s="16">
        <f>ROUND(G10/85940-1,2)</f>
        <v>0.03</v>
      </c>
    </row>
    <row r="11" spans="1:10" x14ac:dyDescent="0.25">
      <c r="A11" s="1" t="s">
        <v>16</v>
      </c>
      <c r="B11" s="1" t="s">
        <v>20</v>
      </c>
      <c r="C11" s="11">
        <v>111940</v>
      </c>
      <c r="D11" s="11"/>
      <c r="E11" s="11"/>
      <c r="F11" s="11"/>
      <c r="G11" s="11">
        <f t="shared" si="0"/>
        <v>111940</v>
      </c>
      <c r="H11" s="17">
        <f t="shared" si="1"/>
        <v>39.700000000000003</v>
      </c>
      <c r="I11" s="16">
        <f t="shared" si="2"/>
        <v>9.9000000000000005E-2</v>
      </c>
      <c r="J11" s="16">
        <f>ROUND(G11/106770-1,2)</f>
        <v>0.05</v>
      </c>
    </row>
    <row r="12" spans="1:10" x14ac:dyDescent="0.25">
      <c r="A12" s="1" t="s">
        <v>16</v>
      </c>
      <c r="B12" s="1" t="s">
        <v>87</v>
      </c>
      <c r="C12" s="11"/>
      <c r="D12" s="11"/>
      <c r="E12" s="11">
        <v>63</v>
      </c>
      <c r="F12" s="11"/>
      <c r="G12" s="11">
        <f t="shared" si="0"/>
        <v>63</v>
      </c>
      <c r="H12" s="17">
        <f t="shared" si="1"/>
        <v>0.02</v>
      </c>
      <c r="I12" s="16">
        <f t="shared" si="2"/>
        <v>0</v>
      </c>
      <c r="J12" s="16">
        <f>ROUND(G12/12-1,2)</f>
        <v>4.25</v>
      </c>
    </row>
    <row r="13" spans="1:10" x14ac:dyDescent="0.25">
      <c r="A13" s="1" t="s">
        <v>16</v>
      </c>
      <c r="B13" s="1" t="s">
        <v>21</v>
      </c>
      <c r="C13" s="11"/>
      <c r="D13" s="11"/>
      <c r="E13" s="11">
        <v>171</v>
      </c>
      <c r="F13" s="11"/>
      <c r="G13" s="11">
        <f t="shared" si="0"/>
        <v>171</v>
      </c>
      <c r="H13" s="17">
        <f t="shared" si="1"/>
        <v>0.06</v>
      </c>
      <c r="I13" s="16">
        <f t="shared" si="2"/>
        <v>0</v>
      </c>
      <c r="J13" s="16">
        <f>ROUND(G13/220-1,2)</f>
        <v>-0.22</v>
      </c>
    </row>
    <row r="14" spans="1:10" x14ac:dyDescent="0.25">
      <c r="A14" s="1" t="s">
        <v>16</v>
      </c>
      <c r="B14" s="1" t="s">
        <v>22</v>
      </c>
      <c r="C14" s="11"/>
      <c r="D14" s="11"/>
      <c r="E14" s="11">
        <v>1900</v>
      </c>
      <c r="F14" s="11"/>
      <c r="G14" s="11">
        <f t="shared" si="0"/>
        <v>1900</v>
      </c>
      <c r="H14" s="17">
        <f t="shared" si="1"/>
        <v>0.67</v>
      </c>
      <c r="I14" s="16">
        <f t="shared" si="2"/>
        <v>2E-3</v>
      </c>
      <c r="J14" s="16">
        <f>ROUND(G14/900-1,2)</f>
        <v>1.1100000000000001</v>
      </c>
    </row>
    <row r="15" spans="1:10" x14ac:dyDescent="0.25">
      <c r="A15" s="1" t="s">
        <v>16</v>
      </c>
      <c r="B15" s="1" t="s">
        <v>23</v>
      </c>
      <c r="C15" s="11"/>
      <c r="D15" s="11"/>
      <c r="E15" s="11">
        <v>51600</v>
      </c>
      <c r="F15" s="11"/>
      <c r="G15" s="11">
        <f t="shared" si="0"/>
        <v>51600</v>
      </c>
      <c r="H15" s="17">
        <f t="shared" si="1"/>
        <v>18.3</v>
      </c>
      <c r="I15" s="16">
        <f t="shared" si="2"/>
        <v>4.5999999999999999E-2</v>
      </c>
      <c r="J15" s="16">
        <f>ROUND(G15/61220-1,2)</f>
        <v>-0.16</v>
      </c>
    </row>
    <row r="16" spans="1:10" x14ac:dyDescent="0.25">
      <c r="A16" s="1" t="s">
        <v>16</v>
      </c>
      <c r="B16" s="1" t="s">
        <v>24</v>
      </c>
      <c r="C16" s="11">
        <v>112170</v>
      </c>
      <c r="D16" s="11"/>
      <c r="E16" s="11"/>
      <c r="F16" s="11"/>
      <c r="G16" s="11">
        <f t="shared" si="0"/>
        <v>112170</v>
      </c>
      <c r="H16" s="17">
        <f t="shared" si="1"/>
        <v>39.78</v>
      </c>
      <c r="I16" s="16">
        <f t="shared" si="2"/>
        <v>9.9000000000000005E-2</v>
      </c>
      <c r="J16" s="16">
        <f>ROUND(G16/110930-1,2)</f>
        <v>0.01</v>
      </c>
    </row>
    <row r="17" spans="1:10" x14ac:dyDescent="0.25">
      <c r="A17" s="1" t="s">
        <v>16</v>
      </c>
      <c r="B17" s="1" t="s">
        <v>25</v>
      </c>
      <c r="C17" s="11"/>
      <c r="D17" s="11"/>
      <c r="E17" s="11">
        <v>4090</v>
      </c>
      <c r="F17" s="11"/>
      <c r="G17" s="11">
        <f t="shared" si="0"/>
        <v>4090</v>
      </c>
      <c r="H17" s="17">
        <f t="shared" si="1"/>
        <v>1.45</v>
      </c>
      <c r="I17" s="16">
        <f t="shared" si="2"/>
        <v>4.0000000000000001E-3</v>
      </c>
      <c r="J17" s="16">
        <f>ROUND(G17/5300-1,2)</f>
        <v>-0.23</v>
      </c>
    </row>
    <row r="18" spans="1:10" x14ac:dyDescent="0.25">
      <c r="A18" s="1" t="s">
        <v>16</v>
      </c>
      <c r="B18" s="1" t="s">
        <v>26</v>
      </c>
      <c r="C18" s="11">
        <v>208180</v>
      </c>
      <c r="D18" s="11"/>
      <c r="E18" s="11"/>
      <c r="F18" s="11">
        <v>1440</v>
      </c>
      <c r="G18" s="11">
        <f t="shared" si="0"/>
        <v>209620</v>
      </c>
      <c r="H18" s="17">
        <f t="shared" si="1"/>
        <v>74.33</v>
      </c>
      <c r="I18" s="16">
        <f t="shared" si="2"/>
        <v>0.186</v>
      </c>
      <c r="J18" s="16">
        <f>ROUND(G18/208780-1,2)</f>
        <v>0</v>
      </c>
    </row>
    <row r="19" spans="1:10" x14ac:dyDescent="0.25">
      <c r="A19" s="1" t="s">
        <v>16</v>
      </c>
      <c r="B19" s="1" t="s">
        <v>27</v>
      </c>
      <c r="C19" s="11"/>
      <c r="D19" s="11"/>
      <c r="E19" s="11">
        <v>345</v>
      </c>
      <c r="F19" s="11"/>
      <c r="G19" s="11">
        <f t="shared" si="0"/>
        <v>345</v>
      </c>
      <c r="H19" s="17">
        <f t="shared" si="1"/>
        <v>0.12</v>
      </c>
      <c r="I19" s="16">
        <f t="shared" si="2"/>
        <v>0</v>
      </c>
      <c r="J19" s="16">
        <f>ROUND(G19/255-1,2)</f>
        <v>0.35</v>
      </c>
    </row>
    <row r="20" spans="1:10" x14ac:dyDescent="0.25">
      <c r="A20" s="1" t="s">
        <v>16</v>
      </c>
      <c r="B20" s="1" t="s">
        <v>28</v>
      </c>
      <c r="C20" s="11"/>
      <c r="D20" s="11"/>
      <c r="E20" s="11">
        <v>301</v>
      </c>
      <c r="F20" s="11"/>
      <c r="G20" s="11">
        <f t="shared" si="0"/>
        <v>301</v>
      </c>
      <c r="H20" s="17">
        <f t="shared" si="1"/>
        <v>0.11</v>
      </c>
      <c r="I20" s="16">
        <f t="shared" si="2"/>
        <v>0</v>
      </c>
      <c r="J20" s="16">
        <f>ROUND(G20/110-1,2)</f>
        <v>1.74</v>
      </c>
    </row>
    <row r="21" spans="1:10" x14ac:dyDescent="0.25">
      <c r="A21" s="1" t="s">
        <v>16</v>
      </c>
      <c r="B21" s="1" t="s">
        <v>29</v>
      </c>
      <c r="C21" s="11"/>
      <c r="D21" s="11"/>
      <c r="E21" s="11">
        <v>60</v>
      </c>
      <c r="F21" s="11"/>
      <c r="G21" s="11">
        <f t="shared" si="0"/>
        <v>60</v>
      </c>
      <c r="H21" s="17">
        <f t="shared" si="1"/>
        <v>0.02</v>
      </c>
      <c r="I21" s="16">
        <f t="shared" si="2"/>
        <v>0</v>
      </c>
      <c r="J21" s="16"/>
    </row>
    <row r="22" spans="1:10" x14ac:dyDescent="0.25">
      <c r="A22" s="1" t="s">
        <v>16</v>
      </c>
      <c r="B22" s="1" t="s">
        <v>30</v>
      </c>
      <c r="C22" s="11"/>
      <c r="D22" s="11"/>
      <c r="E22" s="11">
        <v>6110</v>
      </c>
      <c r="F22" s="11"/>
      <c r="G22" s="11">
        <f t="shared" si="0"/>
        <v>6110</v>
      </c>
      <c r="H22" s="17">
        <f t="shared" si="1"/>
        <v>2.17</v>
      </c>
      <c r="I22" s="16">
        <f t="shared" si="2"/>
        <v>5.0000000000000001E-3</v>
      </c>
      <c r="J22" s="16">
        <f>ROUND(G22/6600-1,2)</f>
        <v>-7.0000000000000007E-2</v>
      </c>
    </row>
    <row r="23" spans="1:10" x14ac:dyDescent="0.25">
      <c r="A23" s="1" t="s">
        <v>16</v>
      </c>
      <c r="B23" s="1" t="s">
        <v>31</v>
      </c>
      <c r="C23" s="11"/>
      <c r="D23" s="11"/>
      <c r="E23" s="11">
        <v>870</v>
      </c>
      <c r="F23" s="11"/>
      <c r="G23" s="11">
        <f t="shared" si="0"/>
        <v>870</v>
      </c>
      <c r="H23" s="17">
        <f t="shared" si="1"/>
        <v>0.31</v>
      </c>
      <c r="I23" s="16">
        <f t="shared" si="2"/>
        <v>1E-3</v>
      </c>
      <c r="J23" s="16">
        <f>ROUND(G23/580-1,2)</f>
        <v>0.5</v>
      </c>
    </row>
    <row r="24" spans="1:10" x14ac:dyDescent="0.25">
      <c r="A24" s="1" t="s">
        <v>16</v>
      </c>
      <c r="B24" s="1" t="s">
        <v>33</v>
      </c>
      <c r="C24" s="11"/>
      <c r="D24" s="11"/>
      <c r="E24" s="11">
        <v>2181</v>
      </c>
      <c r="F24" s="11"/>
      <c r="G24" s="11">
        <f t="shared" si="0"/>
        <v>2181</v>
      </c>
      <c r="H24" s="17">
        <f t="shared" si="1"/>
        <v>0.77</v>
      </c>
      <c r="I24" s="16">
        <f t="shared" si="2"/>
        <v>2E-3</v>
      </c>
      <c r="J24" s="16">
        <f>ROUND(G24/1570-1,2)</f>
        <v>0.39</v>
      </c>
    </row>
    <row r="25" spans="1:10" x14ac:dyDescent="0.25">
      <c r="A25" s="1" t="s">
        <v>16</v>
      </c>
      <c r="B25" s="1" t="s">
        <v>34</v>
      </c>
      <c r="C25" s="11"/>
      <c r="D25" s="11">
        <v>42</v>
      </c>
      <c r="E25" s="11">
        <v>135</v>
      </c>
      <c r="F25" s="11"/>
      <c r="G25" s="11">
        <f t="shared" si="0"/>
        <v>177</v>
      </c>
      <c r="H25" s="17">
        <f t="shared" si="1"/>
        <v>0.06</v>
      </c>
      <c r="I25" s="16">
        <f t="shared" si="2"/>
        <v>0</v>
      </c>
      <c r="J25" s="16">
        <f>ROUND(G25/187-1,2)</f>
        <v>-0.05</v>
      </c>
    </row>
    <row r="26" spans="1:10" x14ac:dyDescent="0.25">
      <c r="A26" s="1" t="s">
        <v>16</v>
      </c>
      <c r="B26" s="1" t="s">
        <v>35</v>
      </c>
      <c r="C26" s="11"/>
      <c r="D26" s="11"/>
      <c r="E26" s="11">
        <v>1232</v>
      </c>
      <c r="F26" s="11"/>
      <c r="G26" s="11">
        <f t="shared" si="0"/>
        <v>1232</v>
      </c>
      <c r="H26" s="17">
        <f t="shared" si="1"/>
        <v>0.44</v>
      </c>
      <c r="I26" s="16">
        <f t="shared" si="2"/>
        <v>1E-3</v>
      </c>
      <c r="J26" s="16">
        <f>ROUND(G26/585-1,2)</f>
        <v>1.1100000000000001</v>
      </c>
    </row>
    <row r="27" spans="1:10" x14ac:dyDescent="0.25">
      <c r="A27" s="1" t="s">
        <v>16</v>
      </c>
      <c r="B27" s="1" t="s">
        <v>37</v>
      </c>
      <c r="C27" s="11"/>
      <c r="D27" s="11"/>
      <c r="E27" s="11">
        <v>2690</v>
      </c>
      <c r="F27" s="11"/>
      <c r="G27" s="11">
        <f t="shared" si="0"/>
        <v>2690</v>
      </c>
      <c r="H27" s="17">
        <f t="shared" si="1"/>
        <v>0.95</v>
      </c>
      <c r="I27" s="16">
        <f t="shared" si="2"/>
        <v>2E-3</v>
      </c>
      <c r="J27" s="16">
        <f>ROUND(G27/2590-1,2)</f>
        <v>0.04</v>
      </c>
    </row>
    <row r="28" spans="1:10" x14ac:dyDescent="0.25">
      <c r="A28" s="1" t="s">
        <v>16</v>
      </c>
      <c r="B28" s="1" t="s">
        <v>39</v>
      </c>
      <c r="C28" s="11"/>
      <c r="D28" s="11"/>
      <c r="E28" s="11">
        <v>10010</v>
      </c>
      <c r="F28" s="11"/>
      <c r="G28" s="11">
        <f t="shared" si="0"/>
        <v>10010</v>
      </c>
      <c r="H28" s="17">
        <f t="shared" si="1"/>
        <v>3.55</v>
      </c>
      <c r="I28" s="16">
        <f t="shared" si="2"/>
        <v>8.9999999999999993E-3</v>
      </c>
      <c r="J28" s="16">
        <f>ROUND(G28/9790-1,2)</f>
        <v>0.02</v>
      </c>
    </row>
    <row r="29" spans="1:10" x14ac:dyDescent="0.25">
      <c r="A29" s="1" t="s">
        <v>16</v>
      </c>
      <c r="B29" s="1" t="s">
        <v>38</v>
      </c>
      <c r="C29" s="11"/>
      <c r="D29" s="11"/>
      <c r="E29" s="11">
        <v>5110</v>
      </c>
      <c r="F29" s="11"/>
      <c r="G29" s="11">
        <f t="shared" si="0"/>
        <v>5110</v>
      </c>
      <c r="H29" s="17">
        <f t="shared" si="1"/>
        <v>1.81</v>
      </c>
      <c r="I29" s="16">
        <f t="shared" si="2"/>
        <v>5.0000000000000001E-3</v>
      </c>
      <c r="J29" s="16">
        <f>ROUND(G29/7790-1,2)</f>
        <v>-0.34</v>
      </c>
    </row>
    <row r="30" spans="1:10" x14ac:dyDescent="0.25">
      <c r="A30" s="1" t="s">
        <v>16</v>
      </c>
      <c r="B30" s="1" t="s">
        <v>40</v>
      </c>
      <c r="C30" s="11"/>
      <c r="D30" s="11"/>
      <c r="E30" s="11">
        <v>73660</v>
      </c>
      <c r="F30" s="11"/>
      <c r="G30" s="11">
        <f t="shared" si="0"/>
        <v>73660</v>
      </c>
      <c r="H30" s="17">
        <f t="shared" si="1"/>
        <v>26.12</v>
      </c>
      <c r="I30" s="16">
        <f t="shared" si="2"/>
        <v>6.5000000000000002E-2</v>
      </c>
      <c r="J30" s="16">
        <f>ROUND(G30/74640-1,2)</f>
        <v>-0.01</v>
      </c>
    </row>
    <row r="31" spans="1:10" x14ac:dyDescent="0.25">
      <c r="A31" s="1" t="s">
        <v>16</v>
      </c>
      <c r="B31" s="1" t="s">
        <v>42</v>
      </c>
      <c r="C31" s="11"/>
      <c r="D31" s="11"/>
      <c r="E31" s="11">
        <v>26820</v>
      </c>
      <c r="F31" s="11"/>
      <c r="G31" s="11">
        <f t="shared" si="0"/>
        <v>26820</v>
      </c>
      <c r="H31" s="17">
        <f t="shared" si="1"/>
        <v>9.51</v>
      </c>
      <c r="I31" s="16">
        <f t="shared" si="2"/>
        <v>2.4E-2</v>
      </c>
      <c r="J31" s="16">
        <f>ROUND(G31/30030-1,2)</f>
        <v>-0.11</v>
      </c>
    </row>
    <row r="32" spans="1:10" x14ac:dyDescent="0.25">
      <c r="A32" s="1" t="s">
        <v>16</v>
      </c>
      <c r="B32" s="1" t="s">
        <v>44</v>
      </c>
      <c r="C32" s="11"/>
      <c r="D32" s="11"/>
      <c r="E32" s="11">
        <v>101420</v>
      </c>
      <c r="F32" s="11"/>
      <c r="G32" s="11">
        <f t="shared" si="0"/>
        <v>101420</v>
      </c>
      <c r="H32" s="17">
        <f t="shared" si="1"/>
        <v>35.96</v>
      </c>
      <c r="I32" s="16">
        <f t="shared" si="2"/>
        <v>0.09</v>
      </c>
      <c r="J32" s="16">
        <f>ROUND(G32/88310-1,2)</f>
        <v>0.15</v>
      </c>
    </row>
    <row r="33" spans="1:10" x14ac:dyDescent="0.25">
      <c r="A33" s="1" t="s">
        <v>16</v>
      </c>
      <c r="B33" s="1" t="s">
        <v>36</v>
      </c>
      <c r="C33" s="11"/>
      <c r="D33" s="11"/>
      <c r="E33" s="11"/>
      <c r="F33" s="11"/>
      <c r="G33" s="11">
        <f t="shared" si="0"/>
        <v>0</v>
      </c>
      <c r="H33" s="17">
        <f t="shared" si="1"/>
        <v>0</v>
      </c>
      <c r="I33" s="16">
        <f t="shared" si="2"/>
        <v>0</v>
      </c>
      <c r="J33" s="16">
        <f>ROUND(G33/50-1,2)</f>
        <v>-1</v>
      </c>
    </row>
    <row r="34" spans="1:10" x14ac:dyDescent="0.25">
      <c r="A34" s="1" t="s">
        <v>45</v>
      </c>
      <c r="B34" s="1" t="s">
        <v>46</v>
      </c>
      <c r="C34" s="11">
        <v>241740</v>
      </c>
      <c r="D34" s="11"/>
      <c r="E34" s="11"/>
      <c r="F34" s="11"/>
      <c r="G34" s="11">
        <f t="shared" si="0"/>
        <v>241740</v>
      </c>
      <c r="H34" s="17">
        <f t="shared" si="1"/>
        <v>85.72</v>
      </c>
      <c r="I34" s="16">
        <f t="shared" si="2"/>
        <v>0.214</v>
      </c>
      <c r="J34" s="16">
        <f>ROUND(G34/232645-1,2)</f>
        <v>0.04</v>
      </c>
    </row>
    <row r="35" spans="1:10" x14ac:dyDescent="0.25">
      <c r="A35" s="1" t="s">
        <v>45</v>
      </c>
      <c r="B35" s="1" t="s">
        <v>48</v>
      </c>
      <c r="C35" s="11"/>
      <c r="D35" s="11"/>
      <c r="E35" s="11"/>
      <c r="F35" s="11">
        <v>7060</v>
      </c>
      <c r="G35" s="11">
        <f t="shared" si="0"/>
        <v>7060</v>
      </c>
      <c r="H35" s="17">
        <f t="shared" si="1"/>
        <v>2.5</v>
      </c>
      <c r="I35" s="16">
        <f t="shared" si="2"/>
        <v>6.0000000000000001E-3</v>
      </c>
      <c r="J35" s="16"/>
    </row>
    <row r="36" spans="1:10" x14ac:dyDescent="0.25">
      <c r="A36" s="1" t="s">
        <v>45</v>
      </c>
      <c r="B36" s="1" t="s">
        <v>47</v>
      </c>
      <c r="C36" s="11"/>
      <c r="D36" s="11"/>
      <c r="E36" s="11">
        <v>69475</v>
      </c>
      <c r="F36" s="11"/>
      <c r="G36" s="11">
        <f t="shared" si="0"/>
        <v>69475</v>
      </c>
      <c r="H36" s="17">
        <f t="shared" si="1"/>
        <v>24.64</v>
      </c>
      <c r="I36" s="16">
        <f t="shared" si="2"/>
        <v>6.2E-2</v>
      </c>
      <c r="J36" s="16">
        <f>ROUND(G36/72840-1,2)</f>
        <v>-0.05</v>
      </c>
    </row>
    <row r="37" spans="1:10" x14ac:dyDescent="0.25">
      <c r="A37" s="1" t="s">
        <v>49</v>
      </c>
      <c r="B37" s="1" t="s">
        <v>52</v>
      </c>
      <c r="C37" s="11"/>
      <c r="D37" s="11"/>
      <c r="E37" s="11"/>
      <c r="F37" s="11"/>
      <c r="G37" s="11">
        <f t="shared" si="0"/>
        <v>0</v>
      </c>
      <c r="H37" s="17">
        <f t="shared" si="1"/>
        <v>0</v>
      </c>
      <c r="I37" s="16">
        <f t="shared" si="2"/>
        <v>0</v>
      </c>
      <c r="J37" s="16"/>
    </row>
    <row r="38" spans="1:10" x14ac:dyDescent="0.25">
      <c r="A38" s="1" t="s">
        <v>49</v>
      </c>
      <c r="B38" s="1" t="s">
        <v>51</v>
      </c>
      <c r="C38" s="11"/>
      <c r="D38" s="11"/>
      <c r="E38" s="11"/>
      <c r="F38" s="11"/>
      <c r="G38" s="11">
        <f t="shared" si="0"/>
        <v>0</v>
      </c>
      <c r="H38" s="17">
        <f t="shared" si="1"/>
        <v>0</v>
      </c>
      <c r="I38" s="16">
        <f t="shared" si="2"/>
        <v>0</v>
      </c>
      <c r="J38" s="16"/>
    </row>
    <row r="39" spans="1:10" x14ac:dyDescent="0.25">
      <c r="A39" s="26" t="s">
        <v>12</v>
      </c>
      <c r="B39" s="26"/>
      <c r="C39" s="12">
        <f t="shared" ref="C39:H39" si="3">SUM(C8:C38)</f>
        <v>762670</v>
      </c>
      <c r="D39" s="12">
        <f t="shared" si="3"/>
        <v>42</v>
      </c>
      <c r="E39" s="12">
        <f t="shared" si="3"/>
        <v>358324</v>
      </c>
      <c r="F39" s="12">
        <f t="shared" si="3"/>
        <v>8500</v>
      </c>
      <c r="G39" s="12">
        <f t="shared" si="3"/>
        <v>1129536</v>
      </c>
      <c r="H39" s="15">
        <f t="shared" si="3"/>
        <v>400.53</v>
      </c>
      <c r="I39" s="18"/>
      <c r="J39" s="18"/>
    </row>
    <row r="40" spans="1:10" x14ac:dyDescent="0.25">
      <c r="A40" s="26" t="s">
        <v>14</v>
      </c>
      <c r="B40" s="26"/>
      <c r="C40" s="13">
        <f>ROUND(C39/G39,2)</f>
        <v>0.68</v>
      </c>
      <c r="D40" s="13">
        <f>ROUND(D39/G39,2)</f>
        <v>0</v>
      </c>
      <c r="E40" s="13">
        <f>ROUND(E39/G39,2)</f>
        <v>0.32</v>
      </c>
      <c r="F40" s="13">
        <f>ROUND(F39/G39,2)</f>
        <v>0.01</v>
      </c>
      <c r="G40" s="14"/>
      <c r="H40" s="14"/>
      <c r="I40" s="18"/>
      <c r="J40" s="18"/>
    </row>
    <row r="41" spans="1:10" x14ac:dyDescent="0.25">
      <c r="A41" s="2" t="s">
        <v>53</v>
      </c>
      <c r="B41" s="2"/>
      <c r="C41" s="14"/>
      <c r="D41" s="14"/>
      <c r="E41" s="14"/>
      <c r="F41" s="14"/>
      <c r="G41" s="14"/>
      <c r="H41" s="14"/>
      <c r="I41" s="18"/>
      <c r="J41" s="18"/>
    </row>
    <row r="42" spans="1:10" x14ac:dyDescent="0.25">
      <c r="C42" s="9"/>
      <c r="D42" s="9"/>
      <c r="E42" s="9"/>
      <c r="F42" s="9"/>
      <c r="G42" s="9"/>
      <c r="H42" s="9"/>
      <c r="I42" s="10"/>
      <c r="J42" s="10"/>
    </row>
    <row r="43" spans="1:10" x14ac:dyDescent="0.25">
      <c r="C43" s="9"/>
      <c r="D43" s="9"/>
      <c r="E43" s="9"/>
      <c r="F43" s="9"/>
      <c r="G43" s="9"/>
      <c r="H43" s="9"/>
      <c r="I43" s="10"/>
      <c r="J43" s="10"/>
    </row>
    <row r="44" spans="1:10" x14ac:dyDescent="0.25">
      <c r="C44" s="9"/>
      <c r="D44" s="9"/>
      <c r="E44" s="9"/>
      <c r="F44" s="9"/>
      <c r="G44" s="9"/>
      <c r="H44" s="9"/>
      <c r="I44" s="10"/>
      <c r="J44" s="10"/>
    </row>
    <row r="45" spans="1:10" x14ac:dyDescent="0.25">
      <c r="A45" s="26" t="s">
        <v>54</v>
      </c>
      <c r="B45" s="26"/>
      <c r="C45" s="12" t="s">
        <v>8</v>
      </c>
      <c r="D45" s="12" t="s">
        <v>9</v>
      </c>
      <c r="E45" s="12" t="s">
        <v>10</v>
      </c>
      <c r="F45" s="12" t="s">
        <v>11</v>
      </c>
      <c r="G45" s="12" t="s">
        <v>12</v>
      </c>
      <c r="H45" s="15" t="s">
        <v>13</v>
      </c>
      <c r="I45" s="18"/>
      <c r="J45" s="18"/>
    </row>
    <row r="46" spans="1:10" x14ac:dyDescent="0.25">
      <c r="A46" s="21" t="s">
        <v>55</v>
      </c>
      <c r="B46" s="21"/>
      <c r="C46" s="11">
        <v>520930</v>
      </c>
      <c r="D46" s="11">
        <v>42</v>
      </c>
      <c r="E46" s="11">
        <v>288849</v>
      </c>
      <c r="F46" s="11">
        <v>1440</v>
      </c>
      <c r="G46" s="11">
        <f>SUM(C46:F46)</f>
        <v>811261</v>
      </c>
      <c r="H46" s="17">
        <f>ROUND(G46/2820,2)</f>
        <v>287.68</v>
      </c>
      <c r="I46" s="10"/>
      <c r="J46" s="10"/>
    </row>
    <row r="47" spans="1:10" x14ac:dyDescent="0.25">
      <c r="A47" s="21" t="s">
        <v>56</v>
      </c>
      <c r="B47" s="21"/>
      <c r="C47" s="11">
        <v>241740</v>
      </c>
      <c r="D47" s="11">
        <v>0</v>
      </c>
      <c r="E47" s="11">
        <v>69475</v>
      </c>
      <c r="F47" s="11">
        <v>7060</v>
      </c>
      <c r="G47" s="11">
        <f>SUM(C47:F47)</f>
        <v>318275</v>
      </c>
      <c r="H47" s="17">
        <f>ROUND(G47/2820,2)</f>
        <v>112.86</v>
      </c>
      <c r="I47" s="10"/>
      <c r="J47" s="10"/>
    </row>
    <row r="48" spans="1:10" x14ac:dyDescent="0.25">
      <c r="A48" s="21" t="s">
        <v>57</v>
      </c>
      <c r="B48" s="21"/>
      <c r="C48" s="11">
        <v>0</v>
      </c>
      <c r="D48" s="11">
        <v>0</v>
      </c>
      <c r="E48" s="11">
        <v>0</v>
      </c>
      <c r="F48" s="11">
        <v>0</v>
      </c>
      <c r="G48" s="11">
        <f>SUM(C48:F48)</f>
        <v>0</v>
      </c>
      <c r="H48" s="17">
        <f>ROUND(G48/2820,2)</f>
        <v>0</v>
      </c>
      <c r="I48" s="10"/>
      <c r="J48" s="10"/>
    </row>
    <row r="49" spans="1:10" x14ac:dyDescent="0.25">
      <c r="C49" s="9"/>
      <c r="D49" s="9"/>
      <c r="E49" s="9"/>
      <c r="F49" s="9"/>
      <c r="G49" s="9"/>
      <c r="H49" s="9"/>
      <c r="I49" s="10"/>
      <c r="J49" s="10"/>
    </row>
    <row r="50" spans="1:10" x14ac:dyDescent="0.25">
      <c r="C50" s="9"/>
      <c r="D50" s="9"/>
      <c r="E50" s="9"/>
      <c r="F50" s="9"/>
      <c r="G50" s="9"/>
      <c r="H50" s="9"/>
      <c r="I50" s="10"/>
      <c r="J50" s="10"/>
    </row>
    <row r="51" spans="1:10" x14ac:dyDescent="0.25">
      <c r="C51" s="9"/>
      <c r="D51" s="9"/>
      <c r="E51" s="9"/>
      <c r="F51" s="9"/>
      <c r="G51" s="9"/>
      <c r="H51" s="9"/>
      <c r="I51" s="10"/>
      <c r="J51" s="10"/>
    </row>
    <row r="52" spans="1:10" x14ac:dyDescent="0.25">
      <c r="C52" s="9"/>
      <c r="D52" s="9"/>
      <c r="E52" s="9"/>
      <c r="F52" s="9"/>
      <c r="G52" s="9"/>
      <c r="H52" s="9"/>
      <c r="I52" s="10"/>
      <c r="J52" s="10"/>
    </row>
    <row r="53" spans="1:10" x14ac:dyDescent="0.25">
      <c r="A53" s="26" t="s">
        <v>58</v>
      </c>
      <c r="B53" s="26"/>
      <c r="C53" s="15" t="s">
        <v>2</v>
      </c>
      <c r="D53" s="15">
        <v>2024</v>
      </c>
      <c r="E53" s="15" t="s">
        <v>60</v>
      </c>
      <c r="F53" s="14"/>
      <c r="G53" s="15" t="s">
        <v>61</v>
      </c>
      <c r="H53" s="15" t="s">
        <v>2</v>
      </c>
      <c r="I53" s="13" t="s">
        <v>62</v>
      </c>
      <c r="J53" s="13" t="s">
        <v>60</v>
      </c>
    </row>
    <row r="54" spans="1:10" x14ac:dyDescent="0.25">
      <c r="A54" s="21" t="s">
        <v>59</v>
      </c>
      <c r="B54" s="21"/>
      <c r="C54" s="16">
        <f>ROUND(0.7753, 4)</f>
        <v>0.77529999999999999</v>
      </c>
      <c r="D54" s="16">
        <f>ROUND(0.7771, 4)</f>
        <v>0.77710000000000001</v>
      </c>
      <c r="E54" s="16">
        <f>ROUND(0.7856, 4)</f>
        <v>0.78559999999999997</v>
      </c>
      <c r="F54" s="9"/>
      <c r="G54" s="15" t="s">
        <v>63</v>
      </c>
      <c r="H54" s="27" t="s">
        <v>64</v>
      </c>
      <c r="I54" s="24" t="s">
        <v>65</v>
      </c>
      <c r="J54" s="24" t="s">
        <v>66</v>
      </c>
    </row>
    <row r="55" spans="1:10" x14ac:dyDescent="0.25">
      <c r="A55" s="21" t="s">
        <v>67</v>
      </c>
      <c r="B55" s="21"/>
      <c r="C55" s="16">
        <f>ROUND(0.7753, 4)</f>
        <v>0.77529999999999999</v>
      </c>
      <c r="D55" s="16">
        <f>ROUND(0.7665, 4)</f>
        <v>0.76649999999999996</v>
      </c>
      <c r="E55" s="16">
        <f>ROUND(0.7702, 4)</f>
        <v>0.7702</v>
      </c>
      <c r="F55" s="9"/>
      <c r="G55" s="15" t="s">
        <v>68</v>
      </c>
      <c r="H55" s="28"/>
      <c r="I55" s="25"/>
      <c r="J55" s="25"/>
    </row>
    <row r="56" spans="1:10" x14ac:dyDescent="0.25">
      <c r="C56" s="9"/>
      <c r="D56" s="9"/>
      <c r="E56" s="9"/>
      <c r="F56" s="9"/>
      <c r="G56" s="9"/>
      <c r="H56" s="9"/>
      <c r="I56" s="10"/>
      <c r="J56" s="10"/>
    </row>
    <row r="57" spans="1:10" x14ac:dyDescent="0.25">
      <c r="C57" s="9"/>
      <c r="D57" s="9"/>
      <c r="E57" s="9"/>
      <c r="F57" s="9"/>
      <c r="G57" s="9"/>
      <c r="H57" s="9"/>
      <c r="I57" s="10"/>
      <c r="J57" s="10"/>
    </row>
    <row r="58" spans="1:10" x14ac:dyDescent="0.25">
      <c r="C58" s="9"/>
      <c r="D58" s="9"/>
      <c r="E58" s="9"/>
      <c r="F58" s="9"/>
      <c r="G58" s="9"/>
      <c r="H58" s="9"/>
      <c r="I58" s="10"/>
      <c r="J58" s="10"/>
    </row>
    <row r="59" spans="1:10" x14ac:dyDescent="0.25">
      <c r="A59" s="26" t="s">
        <v>69</v>
      </c>
      <c r="B59" s="26"/>
      <c r="C59" s="15" t="s">
        <v>2</v>
      </c>
      <c r="D59" s="15" t="s">
        <v>270</v>
      </c>
      <c r="E59" s="15" t="s">
        <v>71</v>
      </c>
      <c r="F59" s="15" t="s">
        <v>72</v>
      </c>
      <c r="G59" s="15" t="s">
        <v>73</v>
      </c>
      <c r="H59" s="14"/>
      <c r="I59" s="18"/>
      <c r="J59" s="18"/>
    </row>
    <row r="60" spans="1:10" x14ac:dyDescent="0.25">
      <c r="A60" s="21" t="s">
        <v>74</v>
      </c>
      <c r="B60" s="21"/>
      <c r="C60" s="17">
        <v>85.72</v>
      </c>
      <c r="D60" s="17">
        <v>78.599999999999994</v>
      </c>
      <c r="E60" s="17">
        <v>96.15</v>
      </c>
      <c r="F60" s="17">
        <v>57.94</v>
      </c>
      <c r="G60" s="17">
        <f>12/12*C60</f>
        <v>85.72</v>
      </c>
      <c r="H60" s="9"/>
      <c r="I60" s="10"/>
      <c r="J60" s="10"/>
    </row>
    <row r="61" spans="1:10" x14ac:dyDescent="0.25">
      <c r="A61" s="21" t="s">
        <v>75</v>
      </c>
      <c r="B61" s="21"/>
      <c r="C61" s="17">
        <v>74.33</v>
      </c>
      <c r="D61" s="17">
        <v>75.25</v>
      </c>
      <c r="E61" s="17">
        <v>62.28</v>
      </c>
      <c r="F61" s="17">
        <v>66.599999999999994</v>
      </c>
      <c r="G61" s="17">
        <f>12/12*C61</f>
        <v>74.33</v>
      </c>
      <c r="H61" s="9"/>
      <c r="I61" s="10"/>
      <c r="J61" s="10"/>
    </row>
    <row r="62" spans="1:10" x14ac:dyDescent="0.25">
      <c r="A62" s="21" t="s">
        <v>76</v>
      </c>
      <c r="B62" s="21"/>
      <c r="C62" s="17">
        <v>287.68</v>
      </c>
      <c r="D62" s="17">
        <v>278.86</v>
      </c>
      <c r="E62" s="17">
        <v>300.02</v>
      </c>
      <c r="F62" s="17">
        <v>295.08</v>
      </c>
      <c r="G62" s="17">
        <f>12/12*C62</f>
        <v>287.68</v>
      </c>
      <c r="H62" s="9"/>
      <c r="I62" s="10"/>
      <c r="J62" s="10"/>
    </row>
    <row r="63" spans="1:10" x14ac:dyDescent="0.25">
      <c r="A63" s="21" t="s">
        <v>77</v>
      </c>
      <c r="B63" s="21"/>
      <c r="C63" s="17">
        <v>112.86</v>
      </c>
      <c r="D63" s="17">
        <v>104.43</v>
      </c>
      <c r="E63" s="17">
        <v>120.96</v>
      </c>
      <c r="F63" s="17">
        <v>83.12</v>
      </c>
      <c r="G63" s="17">
        <f>12/12*C63</f>
        <v>112.86</v>
      </c>
      <c r="H63" s="9"/>
      <c r="I63" s="10"/>
      <c r="J63" s="10"/>
    </row>
    <row r="64" spans="1:10" x14ac:dyDescent="0.25">
      <c r="C64" s="9"/>
      <c r="D64" s="9"/>
      <c r="E64" s="9"/>
      <c r="F64" s="9"/>
      <c r="G64" s="9"/>
      <c r="H64" s="9"/>
      <c r="I64" s="10"/>
      <c r="J64" s="10"/>
    </row>
    <row r="65" spans="1:10" x14ac:dyDescent="0.25">
      <c r="C65" s="9"/>
      <c r="D65" s="9"/>
      <c r="E65" s="9"/>
      <c r="F65" s="9"/>
      <c r="G65" s="9"/>
      <c r="H65" s="9"/>
      <c r="I65" s="10"/>
      <c r="J65" s="10"/>
    </row>
    <row r="66" spans="1:10" x14ac:dyDescent="0.25">
      <c r="A66" s="22" t="s">
        <v>61</v>
      </c>
      <c r="B66" s="23"/>
      <c r="C66" s="9"/>
      <c r="D66" s="9"/>
      <c r="E66" s="9"/>
      <c r="F66" s="9"/>
      <c r="G66" s="9"/>
      <c r="H66" s="9"/>
      <c r="I66" s="10"/>
      <c r="J66" s="10"/>
    </row>
    <row r="67" spans="1:10" x14ac:dyDescent="0.25">
      <c r="A67" s="3" t="s">
        <v>78</v>
      </c>
      <c r="B67" s="1" t="s">
        <v>271</v>
      </c>
      <c r="C67" s="9"/>
      <c r="D67" s="9"/>
      <c r="E67" s="9"/>
      <c r="F67" s="9"/>
      <c r="G67" s="9"/>
      <c r="H67" s="9"/>
      <c r="I67" s="10"/>
      <c r="J67" s="10"/>
    </row>
    <row r="68" spans="1:10" x14ac:dyDescent="0.25">
      <c r="A68" s="3" t="s">
        <v>71</v>
      </c>
      <c r="B68" s="1" t="s">
        <v>80</v>
      </c>
      <c r="C68" s="9"/>
      <c r="D68" s="9"/>
      <c r="E68" s="9"/>
      <c r="F68" s="9"/>
      <c r="G68" s="9"/>
      <c r="H68" s="9"/>
      <c r="I68" s="10"/>
      <c r="J68" s="10"/>
    </row>
    <row r="69" spans="1:10" x14ac:dyDescent="0.25">
      <c r="A69" s="3" t="s">
        <v>72</v>
      </c>
      <c r="B69" s="1" t="s">
        <v>81</v>
      </c>
      <c r="C69" s="9"/>
      <c r="D69" s="9"/>
      <c r="E69" s="9"/>
      <c r="F69" s="9"/>
      <c r="G69" s="9"/>
      <c r="H69" s="9"/>
      <c r="I69" s="10"/>
      <c r="J69" s="10"/>
    </row>
    <row r="70" spans="1:10" x14ac:dyDescent="0.25">
      <c r="A70" s="3" t="s">
        <v>73</v>
      </c>
      <c r="B70" s="1" t="s">
        <v>82</v>
      </c>
      <c r="C70" s="9"/>
      <c r="D70" s="9"/>
      <c r="E70" s="9"/>
      <c r="F70" s="9"/>
      <c r="G70" s="9"/>
      <c r="H70" s="9"/>
      <c r="I70" s="10"/>
      <c r="J70" s="10"/>
    </row>
    <row r="71" spans="1:10" x14ac:dyDescent="0.25">
      <c r="C71" s="9"/>
      <c r="D71" s="9"/>
      <c r="E71" s="9"/>
      <c r="F71" s="9"/>
      <c r="G71" s="9"/>
      <c r="H71" s="9"/>
      <c r="I71" s="10"/>
      <c r="J71" s="10"/>
    </row>
  </sheetData>
  <mergeCells count="19">
    <mergeCell ref="C7:G7"/>
    <mergeCell ref="A39:B39"/>
    <mergeCell ref="A40:B40"/>
    <mergeCell ref="A45:B45"/>
    <mergeCell ref="A46:B46"/>
    <mergeCell ref="J54:J55"/>
    <mergeCell ref="A55:B55"/>
    <mergeCell ref="A59:B59"/>
    <mergeCell ref="A60:B60"/>
    <mergeCell ref="A47:B47"/>
    <mergeCell ref="A48:B48"/>
    <mergeCell ref="A53:B53"/>
    <mergeCell ref="A54:B54"/>
    <mergeCell ref="H54:H55"/>
    <mergeCell ref="A61:B61"/>
    <mergeCell ref="A62:B62"/>
    <mergeCell ref="A63:B63"/>
    <mergeCell ref="A66:B66"/>
    <mergeCell ref="I54:I55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2:J71"/>
  <sheetViews>
    <sheetView workbookViewId="0">
      <selection activeCell="H5" sqref="H5"/>
    </sheetView>
  </sheetViews>
  <sheetFormatPr defaultRowHeight="15" x14ac:dyDescent="0.25"/>
  <cols>
    <col min="1" max="1" width="28.42578125" bestFit="1" customWidth="1"/>
    <col min="2" max="2" width="59.5703125" bestFit="1" customWidth="1"/>
    <col min="3" max="3" width="12.7109375" bestFit="1" customWidth="1"/>
    <col min="4" max="4" width="27" bestFit="1" customWidth="1"/>
    <col min="5" max="5" width="13.85546875" bestFit="1" customWidth="1"/>
    <col min="6" max="6" width="8.5703125" bestFit="1" customWidth="1"/>
    <col min="7" max="7" width="47.7109375" bestFit="1" customWidth="1"/>
    <col min="8" max="9" width="16.7109375" bestFit="1" customWidth="1"/>
    <col min="10" max="10" width="24.42578125" bestFit="1" customWidth="1"/>
  </cols>
  <sheetData>
    <row r="2" spans="1:10" ht="18.75" x14ac:dyDescent="0.3">
      <c r="A2" s="3" t="s">
        <v>0</v>
      </c>
      <c r="B2" s="4" t="s">
        <v>272</v>
      </c>
    </row>
    <row r="3" spans="1:10" x14ac:dyDescent="0.25">
      <c r="A3" s="3" t="s">
        <v>2</v>
      </c>
      <c r="B3" s="1" t="s">
        <v>3</v>
      </c>
    </row>
    <row r="4" spans="1:10" x14ac:dyDescent="0.25">
      <c r="A4" s="3" t="s">
        <v>4</v>
      </c>
      <c r="B4" s="20">
        <v>509</v>
      </c>
    </row>
    <row r="7" spans="1:10" x14ac:dyDescent="0.25">
      <c r="C7" s="22" t="s">
        <v>5</v>
      </c>
      <c r="D7" s="21"/>
      <c r="E7" s="21"/>
      <c r="F7" s="21"/>
      <c r="G7" s="21"/>
    </row>
    <row r="8" spans="1:10" x14ac:dyDescent="0.25">
      <c r="A8" s="3" t="s">
        <v>6</v>
      </c>
      <c r="B8" s="3" t="s">
        <v>7</v>
      </c>
      <c r="C8" s="15" t="s">
        <v>8</v>
      </c>
      <c r="D8" s="15" t="s">
        <v>9</v>
      </c>
      <c r="E8" s="15" t="s">
        <v>10</v>
      </c>
      <c r="F8" s="15" t="s">
        <v>11</v>
      </c>
      <c r="G8" s="15" t="s">
        <v>12</v>
      </c>
      <c r="H8" s="15" t="s">
        <v>13</v>
      </c>
      <c r="I8" s="15" t="s">
        <v>14</v>
      </c>
      <c r="J8" s="15" t="s">
        <v>15</v>
      </c>
    </row>
    <row r="9" spans="1:10" x14ac:dyDescent="0.25">
      <c r="A9" s="1" t="s">
        <v>16</v>
      </c>
      <c r="B9" s="1" t="s">
        <v>17</v>
      </c>
      <c r="C9" s="11"/>
      <c r="D9" s="11"/>
      <c r="E9" s="11">
        <v>28</v>
      </c>
      <c r="F9" s="11"/>
      <c r="G9" s="11">
        <f t="shared" ref="G9:G39" si="0">SUM(C9:F9)</f>
        <v>28</v>
      </c>
      <c r="H9" s="17">
        <f t="shared" ref="H9:H39" si="1">ROUND(G9/509,2)</f>
        <v>0.06</v>
      </c>
      <c r="I9" s="16">
        <f t="shared" ref="I9:I39" si="2">ROUND(G9/$G$40,3)</f>
        <v>0</v>
      </c>
      <c r="J9" s="16">
        <f>ROUND(G9/11-1,2)</f>
        <v>1.55</v>
      </c>
    </row>
    <row r="10" spans="1:10" x14ac:dyDescent="0.25">
      <c r="A10" s="1" t="s">
        <v>16</v>
      </c>
      <c r="B10" s="1" t="s">
        <v>19</v>
      </c>
      <c r="C10" s="11">
        <v>24010</v>
      </c>
      <c r="D10" s="11"/>
      <c r="E10" s="11">
        <v>1946</v>
      </c>
      <c r="F10" s="11"/>
      <c r="G10" s="11">
        <f t="shared" si="0"/>
        <v>25956</v>
      </c>
      <c r="H10" s="17">
        <f t="shared" si="1"/>
        <v>50.99</v>
      </c>
      <c r="I10" s="16">
        <f t="shared" si="2"/>
        <v>8.1000000000000003E-2</v>
      </c>
      <c r="J10" s="16">
        <f>ROUND(G10/23687-1,2)</f>
        <v>0.1</v>
      </c>
    </row>
    <row r="11" spans="1:10" x14ac:dyDescent="0.25">
      <c r="A11" s="1" t="s">
        <v>16</v>
      </c>
      <c r="B11" s="1" t="s">
        <v>20</v>
      </c>
      <c r="C11" s="11">
        <v>29750</v>
      </c>
      <c r="D11" s="11">
        <v>510</v>
      </c>
      <c r="E11" s="11"/>
      <c r="F11" s="11"/>
      <c r="G11" s="11">
        <f t="shared" si="0"/>
        <v>30260</v>
      </c>
      <c r="H11" s="17">
        <f t="shared" si="1"/>
        <v>59.45</v>
      </c>
      <c r="I11" s="16">
        <f t="shared" si="2"/>
        <v>9.4E-2</v>
      </c>
      <c r="J11" s="16">
        <f>ROUND(G11/31870-1,2)</f>
        <v>-0.05</v>
      </c>
    </row>
    <row r="12" spans="1:10" x14ac:dyDescent="0.25">
      <c r="A12" s="1" t="s">
        <v>16</v>
      </c>
      <c r="B12" s="1" t="s">
        <v>21</v>
      </c>
      <c r="C12" s="11"/>
      <c r="D12" s="11"/>
      <c r="E12" s="11">
        <v>50</v>
      </c>
      <c r="F12" s="11"/>
      <c r="G12" s="11">
        <f t="shared" si="0"/>
        <v>50</v>
      </c>
      <c r="H12" s="17">
        <f t="shared" si="1"/>
        <v>0.1</v>
      </c>
      <c r="I12" s="16">
        <f t="shared" si="2"/>
        <v>0</v>
      </c>
      <c r="J12" s="16">
        <f>ROUND(G12/77-1,2)</f>
        <v>-0.35</v>
      </c>
    </row>
    <row r="13" spans="1:10" x14ac:dyDescent="0.25">
      <c r="A13" s="1" t="s">
        <v>16</v>
      </c>
      <c r="B13" s="1" t="s">
        <v>22</v>
      </c>
      <c r="C13" s="11"/>
      <c r="D13" s="11"/>
      <c r="E13" s="11">
        <v>330</v>
      </c>
      <c r="F13" s="11"/>
      <c r="G13" s="11">
        <f t="shared" si="0"/>
        <v>330</v>
      </c>
      <c r="H13" s="17">
        <f t="shared" si="1"/>
        <v>0.65</v>
      </c>
      <c r="I13" s="16">
        <f t="shared" si="2"/>
        <v>1E-3</v>
      </c>
      <c r="J13" s="16">
        <f>ROUND(G13/579-1,2)</f>
        <v>-0.43</v>
      </c>
    </row>
    <row r="14" spans="1:10" x14ac:dyDescent="0.25">
      <c r="A14" s="1" t="s">
        <v>16</v>
      </c>
      <c r="B14" s="1" t="s">
        <v>23</v>
      </c>
      <c r="C14" s="11"/>
      <c r="D14" s="11"/>
      <c r="E14" s="11">
        <v>27827</v>
      </c>
      <c r="F14" s="11"/>
      <c r="G14" s="11">
        <f t="shared" si="0"/>
        <v>27827</v>
      </c>
      <c r="H14" s="17">
        <f t="shared" si="1"/>
        <v>54.67</v>
      </c>
      <c r="I14" s="16">
        <f t="shared" si="2"/>
        <v>8.6999999999999994E-2</v>
      </c>
      <c r="J14" s="16">
        <f>ROUND(G14/20214-1,2)</f>
        <v>0.38</v>
      </c>
    </row>
    <row r="15" spans="1:10" x14ac:dyDescent="0.25">
      <c r="A15" s="1" t="s">
        <v>16</v>
      </c>
      <c r="B15" s="1" t="s">
        <v>24</v>
      </c>
      <c r="C15" s="11">
        <v>32240</v>
      </c>
      <c r="D15" s="11"/>
      <c r="E15" s="11">
        <v>7268</v>
      </c>
      <c r="F15" s="11"/>
      <c r="G15" s="11">
        <f t="shared" si="0"/>
        <v>39508</v>
      </c>
      <c r="H15" s="17">
        <f t="shared" si="1"/>
        <v>77.62</v>
      </c>
      <c r="I15" s="16">
        <f t="shared" si="2"/>
        <v>0.123</v>
      </c>
      <c r="J15" s="16">
        <f>ROUND(G15/36459-1,2)</f>
        <v>0.08</v>
      </c>
    </row>
    <row r="16" spans="1:10" x14ac:dyDescent="0.25">
      <c r="A16" s="1" t="s">
        <v>16</v>
      </c>
      <c r="B16" s="1" t="s">
        <v>25</v>
      </c>
      <c r="C16" s="11"/>
      <c r="D16" s="11"/>
      <c r="E16" s="11">
        <v>2063</v>
      </c>
      <c r="F16" s="11"/>
      <c r="G16" s="11">
        <f t="shared" si="0"/>
        <v>2063</v>
      </c>
      <c r="H16" s="17">
        <f t="shared" si="1"/>
        <v>4.05</v>
      </c>
      <c r="I16" s="16">
        <f t="shared" si="2"/>
        <v>6.0000000000000001E-3</v>
      </c>
      <c r="J16" s="16">
        <f>ROUND(G16/2001-1,2)</f>
        <v>0.03</v>
      </c>
    </row>
    <row r="17" spans="1:10" x14ac:dyDescent="0.25">
      <c r="A17" s="1" t="s">
        <v>16</v>
      </c>
      <c r="B17" s="1" t="s">
        <v>26</v>
      </c>
      <c r="C17" s="11">
        <v>26980</v>
      </c>
      <c r="D17" s="11"/>
      <c r="E17" s="11"/>
      <c r="F17" s="11"/>
      <c r="G17" s="11">
        <f t="shared" si="0"/>
        <v>26980</v>
      </c>
      <c r="H17" s="17">
        <f t="shared" si="1"/>
        <v>53.01</v>
      </c>
      <c r="I17" s="16">
        <f t="shared" si="2"/>
        <v>8.4000000000000005E-2</v>
      </c>
      <c r="J17" s="16">
        <f>ROUND(G17/16610-1,2)</f>
        <v>0.62</v>
      </c>
    </row>
    <row r="18" spans="1:10" x14ac:dyDescent="0.25">
      <c r="A18" s="1" t="s">
        <v>16</v>
      </c>
      <c r="B18" s="1" t="s">
        <v>27</v>
      </c>
      <c r="C18" s="11"/>
      <c r="D18" s="11"/>
      <c r="E18" s="11">
        <v>190</v>
      </c>
      <c r="F18" s="11"/>
      <c r="G18" s="11">
        <f t="shared" si="0"/>
        <v>190</v>
      </c>
      <c r="H18" s="17">
        <f t="shared" si="1"/>
        <v>0.37</v>
      </c>
      <c r="I18" s="16">
        <f t="shared" si="2"/>
        <v>1E-3</v>
      </c>
      <c r="J18" s="16">
        <f>ROUND(G18/251-1,2)</f>
        <v>-0.24</v>
      </c>
    </row>
    <row r="19" spans="1:10" x14ac:dyDescent="0.25">
      <c r="A19" s="1" t="s">
        <v>16</v>
      </c>
      <c r="B19" s="1" t="s">
        <v>28</v>
      </c>
      <c r="C19" s="11"/>
      <c r="D19" s="11"/>
      <c r="E19" s="11">
        <v>115</v>
      </c>
      <c r="F19" s="11"/>
      <c r="G19" s="11">
        <f t="shared" si="0"/>
        <v>115</v>
      </c>
      <c r="H19" s="17">
        <f t="shared" si="1"/>
        <v>0.23</v>
      </c>
      <c r="I19" s="16">
        <f t="shared" si="2"/>
        <v>0</v>
      </c>
      <c r="J19" s="16">
        <f>ROUND(G19/115-1,2)</f>
        <v>0</v>
      </c>
    </row>
    <row r="20" spans="1:10" x14ac:dyDescent="0.25">
      <c r="A20" s="1" t="s">
        <v>16</v>
      </c>
      <c r="B20" s="1" t="s">
        <v>29</v>
      </c>
      <c r="C20" s="11"/>
      <c r="D20" s="11"/>
      <c r="E20" s="11">
        <v>24</v>
      </c>
      <c r="F20" s="11"/>
      <c r="G20" s="11">
        <f t="shared" si="0"/>
        <v>24</v>
      </c>
      <c r="H20" s="17">
        <f t="shared" si="1"/>
        <v>0.05</v>
      </c>
      <c r="I20" s="16">
        <f t="shared" si="2"/>
        <v>0</v>
      </c>
      <c r="J20" s="16">
        <f>ROUND(G20/41-1,2)</f>
        <v>-0.41</v>
      </c>
    </row>
    <row r="21" spans="1:10" x14ac:dyDescent="0.25">
      <c r="A21" s="1" t="s">
        <v>16</v>
      </c>
      <c r="B21" s="1" t="s">
        <v>30</v>
      </c>
      <c r="C21" s="11"/>
      <c r="D21" s="11"/>
      <c r="E21" s="11">
        <v>1155</v>
      </c>
      <c r="F21" s="11"/>
      <c r="G21" s="11">
        <f t="shared" si="0"/>
        <v>1155</v>
      </c>
      <c r="H21" s="17">
        <f t="shared" si="1"/>
        <v>2.27</v>
      </c>
      <c r="I21" s="16">
        <f t="shared" si="2"/>
        <v>4.0000000000000001E-3</v>
      </c>
      <c r="J21" s="16">
        <f>ROUND(G21/967-1,2)</f>
        <v>0.19</v>
      </c>
    </row>
    <row r="22" spans="1:10" x14ac:dyDescent="0.25">
      <c r="A22" s="1" t="s">
        <v>16</v>
      </c>
      <c r="B22" s="1" t="s">
        <v>31</v>
      </c>
      <c r="C22" s="11"/>
      <c r="D22" s="11"/>
      <c r="E22" s="11">
        <v>190</v>
      </c>
      <c r="F22" s="11"/>
      <c r="G22" s="11">
        <f t="shared" si="0"/>
        <v>190</v>
      </c>
      <c r="H22" s="17">
        <f t="shared" si="1"/>
        <v>0.37</v>
      </c>
      <c r="I22" s="16">
        <f t="shared" si="2"/>
        <v>1E-3</v>
      </c>
      <c r="J22" s="16">
        <f>ROUND(G22/129-1,2)</f>
        <v>0.47</v>
      </c>
    </row>
    <row r="23" spans="1:10" x14ac:dyDescent="0.25">
      <c r="A23" s="1" t="s">
        <v>16</v>
      </c>
      <c r="B23" s="1" t="s">
        <v>33</v>
      </c>
      <c r="C23" s="11"/>
      <c r="D23" s="11"/>
      <c r="E23" s="11">
        <v>512</v>
      </c>
      <c r="F23" s="11"/>
      <c r="G23" s="11">
        <f t="shared" si="0"/>
        <v>512</v>
      </c>
      <c r="H23" s="17">
        <f t="shared" si="1"/>
        <v>1.01</v>
      </c>
      <c r="I23" s="16">
        <f t="shared" si="2"/>
        <v>2E-3</v>
      </c>
      <c r="J23" s="16">
        <f>ROUND(G23/754-1,2)</f>
        <v>-0.32</v>
      </c>
    </row>
    <row r="24" spans="1:10" x14ac:dyDescent="0.25">
      <c r="A24" s="1" t="s">
        <v>16</v>
      </c>
      <c r="B24" s="1" t="s">
        <v>34</v>
      </c>
      <c r="C24" s="11"/>
      <c r="D24" s="11"/>
      <c r="E24" s="11">
        <v>26</v>
      </c>
      <c r="F24" s="11"/>
      <c r="G24" s="11">
        <f t="shared" si="0"/>
        <v>26</v>
      </c>
      <c r="H24" s="17">
        <f t="shared" si="1"/>
        <v>0.05</v>
      </c>
      <c r="I24" s="16">
        <f t="shared" si="2"/>
        <v>0</v>
      </c>
      <c r="J24" s="16">
        <f>ROUND(G24/37-1,2)</f>
        <v>-0.3</v>
      </c>
    </row>
    <row r="25" spans="1:10" x14ac:dyDescent="0.25">
      <c r="A25" s="1" t="s">
        <v>16</v>
      </c>
      <c r="B25" s="1" t="s">
        <v>35</v>
      </c>
      <c r="C25" s="11"/>
      <c r="D25" s="11"/>
      <c r="E25" s="11">
        <v>359</v>
      </c>
      <c r="F25" s="11"/>
      <c r="G25" s="11">
        <f t="shared" si="0"/>
        <v>359</v>
      </c>
      <c r="H25" s="17">
        <f t="shared" si="1"/>
        <v>0.71</v>
      </c>
      <c r="I25" s="16">
        <f t="shared" si="2"/>
        <v>1E-3</v>
      </c>
      <c r="J25" s="16">
        <f>ROUND(G25/110-1,2)</f>
        <v>2.2599999999999998</v>
      </c>
    </row>
    <row r="26" spans="1:10" x14ac:dyDescent="0.25">
      <c r="A26" s="1" t="s">
        <v>16</v>
      </c>
      <c r="B26" s="1" t="s">
        <v>36</v>
      </c>
      <c r="C26" s="11"/>
      <c r="D26" s="11"/>
      <c r="E26" s="11">
        <v>112</v>
      </c>
      <c r="F26" s="11"/>
      <c r="G26" s="11">
        <f t="shared" si="0"/>
        <v>112</v>
      </c>
      <c r="H26" s="17">
        <f t="shared" si="1"/>
        <v>0.22</v>
      </c>
      <c r="I26" s="16">
        <f t="shared" si="2"/>
        <v>0</v>
      </c>
      <c r="J26" s="16">
        <f>ROUND(G26/229-1,2)</f>
        <v>-0.51</v>
      </c>
    </row>
    <row r="27" spans="1:10" x14ac:dyDescent="0.25">
      <c r="A27" s="1" t="s">
        <v>16</v>
      </c>
      <c r="B27" s="1" t="s">
        <v>37</v>
      </c>
      <c r="C27" s="11"/>
      <c r="D27" s="11"/>
      <c r="E27" s="11">
        <v>699</v>
      </c>
      <c r="F27" s="11"/>
      <c r="G27" s="11">
        <f t="shared" si="0"/>
        <v>699</v>
      </c>
      <c r="H27" s="17">
        <f t="shared" si="1"/>
        <v>1.37</v>
      </c>
      <c r="I27" s="16">
        <f t="shared" si="2"/>
        <v>2E-3</v>
      </c>
      <c r="J27" s="16">
        <f>ROUND(G27/466-1,2)</f>
        <v>0.5</v>
      </c>
    </row>
    <row r="28" spans="1:10" x14ac:dyDescent="0.25">
      <c r="A28" s="1" t="s">
        <v>16</v>
      </c>
      <c r="B28" s="1" t="s">
        <v>38</v>
      </c>
      <c r="C28" s="11">
        <v>330</v>
      </c>
      <c r="D28" s="11"/>
      <c r="E28" s="11">
        <v>1363</v>
      </c>
      <c r="F28" s="11"/>
      <c r="G28" s="11">
        <f t="shared" si="0"/>
        <v>1693</v>
      </c>
      <c r="H28" s="17">
        <f t="shared" si="1"/>
        <v>3.33</v>
      </c>
      <c r="I28" s="16">
        <f t="shared" si="2"/>
        <v>5.0000000000000001E-3</v>
      </c>
      <c r="J28" s="16">
        <f>ROUND(G28/2562-1,2)</f>
        <v>-0.34</v>
      </c>
    </row>
    <row r="29" spans="1:10" x14ac:dyDescent="0.25">
      <c r="A29" s="1" t="s">
        <v>16</v>
      </c>
      <c r="B29" s="1" t="s">
        <v>39</v>
      </c>
      <c r="C29" s="11"/>
      <c r="D29" s="11"/>
      <c r="E29" s="11">
        <v>3269</v>
      </c>
      <c r="F29" s="11"/>
      <c r="G29" s="11">
        <f t="shared" si="0"/>
        <v>3269</v>
      </c>
      <c r="H29" s="17">
        <f t="shared" si="1"/>
        <v>6.42</v>
      </c>
      <c r="I29" s="16">
        <f t="shared" si="2"/>
        <v>0.01</v>
      </c>
      <c r="J29" s="16">
        <f>ROUND(G29/1333-1,2)</f>
        <v>1.45</v>
      </c>
    </row>
    <row r="30" spans="1:10" x14ac:dyDescent="0.25">
      <c r="A30" s="1" t="s">
        <v>16</v>
      </c>
      <c r="B30" s="1" t="s">
        <v>40</v>
      </c>
      <c r="C30" s="11"/>
      <c r="D30" s="11"/>
      <c r="E30" s="11">
        <v>25255</v>
      </c>
      <c r="F30" s="11"/>
      <c r="G30" s="11">
        <f t="shared" si="0"/>
        <v>25255</v>
      </c>
      <c r="H30" s="17">
        <f t="shared" si="1"/>
        <v>49.62</v>
      </c>
      <c r="I30" s="16">
        <f t="shared" si="2"/>
        <v>7.9000000000000001E-2</v>
      </c>
      <c r="J30" s="16">
        <f>ROUND(G30/19944-1,2)</f>
        <v>0.27</v>
      </c>
    </row>
    <row r="31" spans="1:10" x14ac:dyDescent="0.25">
      <c r="A31" s="1" t="s">
        <v>16</v>
      </c>
      <c r="B31" s="1" t="s">
        <v>41</v>
      </c>
      <c r="C31" s="11"/>
      <c r="D31" s="11"/>
      <c r="E31" s="11">
        <v>1701</v>
      </c>
      <c r="F31" s="11"/>
      <c r="G31" s="11">
        <f t="shared" si="0"/>
        <v>1701</v>
      </c>
      <c r="H31" s="17">
        <f t="shared" si="1"/>
        <v>3.34</v>
      </c>
      <c r="I31" s="16">
        <f t="shared" si="2"/>
        <v>5.0000000000000001E-3</v>
      </c>
      <c r="J31" s="16">
        <f>ROUND(G31/1547-1,2)</f>
        <v>0.1</v>
      </c>
    </row>
    <row r="32" spans="1:10" x14ac:dyDescent="0.25">
      <c r="A32" s="1" t="s">
        <v>16</v>
      </c>
      <c r="B32" s="1" t="s">
        <v>42</v>
      </c>
      <c r="C32" s="11"/>
      <c r="D32" s="11"/>
      <c r="E32" s="11">
        <v>5595</v>
      </c>
      <c r="F32" s="11"/>
      <c r="G32" s="11">
        <f t="shared" si="0"/>
        <v>5595</v>
      </c>
      <c r="H32" s="17">
        <f t="shared" si="1"/>
        <v>10.99</v>
      </c>
      <c r="I32" s="16">
        <f t="shared" si="2"/>
        <v>1.7000000000000001E-2</v>
      </c>
      <c r="J32" s="16">
        <f>ROUND(G32/5056-1,2)</f>
        <v>0.11</v>
      </c>
    </row>
    <row r="33" spans="1:10" x14ac:dyDescent="0.25">
      <c r="A33" s="1" t="s">
        <v>16</v>
      </c>
      <c r="B33" s="1" t="s">
        <v>44</v>
      </c>
      <c r="C33" s="11"/>
      <c r="D33" s="11"/>
      <c r="E33" s="11">
        <v>5373</v>
      </c>
      <c r="F33" s="11"/>
      <c r="G33" s="11">
        <f t="shared" si="0"/>
        <v>5373</v>
      </c>
      <c r="H33" s="17">
        <f t="shared" si="1"/>
        <v>10.56</v>
      </c>
      <c r="I33" s="16">
        <f t="shared" si="2"/>
        <v>1.7000000000000001E-2</v>
      </c>
      <c r="J33" s="16">
        <f>ROUND(G33/5617-1,2)</f>
        <v>-0.04</v>
      </c>
    </row>
    <row r="34" spans="1:10" x14ac:dyDescent="0.25">
      <c r="A34" s="1" t="s">
        <v>16</v>
      </c>
      <c r="B34" s="1" t="s">
        <v>32</v>
      </c>
      <c r="C34" s="11"/>
      <c r="D34" s="11"/>
      <c r="E34" s="11"/>
      <c r="F34" s="11"/>
      <c r="G34" s="11">
        <f t="shared" si="0"/>
        <v>0</v>
      </c>
      <c r="H34" s="17">
        <f t="shared" si="1"/>
        <v>0</v>
      </c>
      <c r="I34" s="16">
        <f t="shared" si="2"/>
        <v>0</v>
      </c>
      <c r="J34" s="16">
        <f>ROUND(G34/164-1,2)</f>
        <v>-1</v>
      </c>
    </row>
    <row r="35" spans="1:10" x14ac:dyDescent="0.25">
      <c r="A35" s="1" t="s">
        <v>16</v>
      </c>
      <c r="B35" s="1" t="s">
        <v>121</v>
      </c>
      <c r="C35" s="11"/>
      <c r="D35" s="11"/>
      <c r="E35" s="11"/>
      <c r="F35" s="11"/>
      <c r="G35" s="11">
        <f t="shared" si="0"/>
        <v>0</v>
      </c>
      <c r="H35" s="17">
        <f t="shared" si="1"/>
        <v>0</v>
      </c>
      <c r="I35" s="16">
        <f t="shared" si="2"/>
        <v>0</v>
      </c>
      <c r="J35" s="16"/>
    </row>
    <row r="36" spans="1:10" x14ac:dyDescent="0.25">
      <c r="A36" s="1" t="s">
        <v>45</v>
      </c>
      <c r="B36" s="1" t="s">
        <v>46</v>
      </c>
      <c r="C36" s="11">
        <v>107280</v>
      </c>
      <c r="D36" s="11"/>
      <c r="E36" s="11"/>
      <c r="F36" s="11"/>
      <c r="G36" s="11">
        <f t="shared" si="0"/>
        <v>107280</v>
      </c>
      <c r="H36" s="17">
        <f t="shared" si="1"/>
        <v>210.77</v>
      </c>
      <c r="I36" s="16">
        <f t="shared" si="2"/>
        <v>0.33400000000000002</v>
      </c>
      <c r="J36" s="16">
        <f>ROUND(G36/110100-1,2)</f>
        <v>-0.03</v>
      </c>
    </row>
    <row r="37" spans="1:10" x14ac:dyDescent="0.25">
      <c r="A37" s="1" t="s">
        <v>45</v>
      </c>
      <c r="B37" s="1" t="s">
        <v>47</v>
      </c>
      <c r="C37" s="11">
        <v>980</v>
      </c>
      <c r="D37" s="11"/>
      <c r="E37" s="11">
        <v>13849</v>
      </c>
      <c r="F37" s="11"/>
      <c r="G37" s="11">
        <f t="shared" si="0"/>
        <v>14829</v>
      </c>
      <c r="H37" s="17">
        <f t="shared" si="1"/>
        <v>29.13</v>
      </c>
      <c r="I37" s="16">
        <f t="shared" si="2"/>
        <v>4.5999999999999999E-2</v>
      </c>
      <c r="J37" s="16">
        <f>ROUND(G37/10711-1,2)</f>
        <v>0.38</v>
      </c>
    </row>
    <row r="38" spans="1:10" x14ac:dyDescent="0.25">
      <c r="A38" s="1" t="s">
        <v>45</v>
      </c>
      <c r="B38" s="1" t="s">
        <v>48</v>
      </c>
      <c r="C38" s="11"/>
      <c r="D38" s="11"/>
      <c r="E38" s="11"/>
      <c r="F38" s="11"/>
      <c r="G38" s="11">
        <f t="shared" si="0"/>
        <v>0</v>
      </c>
      <c r="H38" s="17">
        <f t="shared" si="1"/>
        <v>0</v>
      </c>
      <c r="I38" s="16">
        <f t="shared" si="2"/>
        <v>0</v>
      </c>
      <c r="J38" s="16"/>
    </row>
    <row r="39" spans="1:10" x14ac:dyDescent="0.25">
      <c r="A39" s="1" t="s">
        <v>49</v>
      </c>
      <c r="B39" s="1" t="s">
        <v>52</v>
      </c>
      <c r="C39" s="11"/>
      <c r="D39" s="11"/>
      <c r="E39" s="11"/>
      <c r="F39" s="11"/>
      <c r="G39" s="11">
        <f t="shared" si="0"/>
        <v>0</v>
      </c>
      <c r="H39" s="17">
        <f t="shared" si="1"/>
        <v>0</v>
      </c>
      <c r="I39" s="16">
        <f t="shared" si="2"/>
        <v>0</v>
      </c>
      <c r="J39" s="16"/>
    </row>
    <row r="40" spans="1:10" x14ac:dyDescent="0.25">
      <c r="A40" s="26" t="s">
        <v>12</v>
      </c>
      <c r="B40" s="26"/>
      <c r="C40" s="12">
        <f t="shared" ref="C40:H40" si="3">SUM(C8:C39)</f>
        <v>221570</v>
      </c>
      <c r="D40" s="12">
        <f t="shared" si="3"/>
        <v>510</v>
      </c>
      <c r="E40" s="12">
        <f t="shared" si="3"/>
        <v>99299</v>
      </c>
      <c r="F40" s="12">
        <f t="shared" si="3"/>
        <v>0</v>
      </c>
      <c r="G40" s="12">
        <f t="shared" si="3"/>
        <v>321379</v>
      </c>
      <c r="H40" s="15">
        <f t="shared" si="3"/>
        <v>631.41000000000008</v>
      </c>
      <c r="I40" s="18"/>
      <c r="J40" s="18"/>
    </row>
    <row r="41" spans="1:10" x14ac:dyDescent="0.25">
      <c r="A41" s="26" t="s">
        <v>14</v>
      </c>
      <c r="B41" s="26"/>
      <c r="C41" s="13">
        <f>ROUND(C40/G40,2)</f>
        <v>0.69</v>
      </c>
      <c r="D41" s="13">
        <f>ROUND(D40/G40,2)</f>
        <v>0</v>
      </c>
      <c r="E41" s="13">
        <f>ROUND(E40/G40,2)</f>
        <v>0.31</v>
      </c>
      <c r="F41" s="13">
        <f>ROUND(F40/G40,2)</f>
        <v>0</v>
      </c>
      <c r="G41" s="14"/>
      <c r="H41" s="14"/>
      <c r="I41" s="18"/>
      <c r="J41" s="18"/>
    </row>
    <row r="42" spans="1:10" x14ac:dyDescent="0.25">
      <c r="A42" s="2" t="s">
        <v>53</v>
      </c>
      <c r="B42" s="2"/>
      <c r="C42" s="14"/>
      <c r="D42" s="14"/>
      <c r="E42" s="14"/>
      <c r="F42" s="14"/>
      <c r="G42" s="14"/>
      <c r="H42" s="14"/>
      <c r="I42" s="18"/>
      <c r="J42" s="18"/>
    </row>
    <row r="43" spans="1:10" x14ac:dyDescent="0.25">
      <c r="C43" s="9"/>
      <c r="D43" s="9"/>
      <c r="E43" s="9"/>
      <c r="F43" s="9"/>
      <c r="G43" s="9"/>
      <c r="H43" s="9"/>
      <c r="I43" s="10"/>
      <c r="J43" s="10"/>
    </row>
    <row r="44" spans="1:10" x14ac:dyDescent="0.25">
      <c r="C44" s="9"/>
      <c r="D44" s="9"/>
      <c r="E44" s="9"/>
      <c r="F44" s="9"/>
      <c r="G44" s="9"/>
      <c r="H44" s="9"/>
      <c r="I44" s="10"/>
      <c r="J44" s="10"/>
    </row>
    <row r="45" spans="1:10" x14ac:dyDescent="0.25">
      <c r="C45" s="9"/>
      <c r="D45" s="9"/>
      <c r="E45" s="9"/>
      <c r="F45" s="9"/>
      <c r="G45" s="9"/>
      <c r="H45" s="9"/>
      <c r="I45" s="10"/>
      <c r="J45" s="10"/>
    </row>
    <row r="46" spans="1:10" x14ac:dyDescent="0.25">
      <c r="A46" s="26" t="s">
        <v>54</v>
      </c>
      <c r="B46" s="26"/>
      <c r="C46" s="12" t="s">
        <v>8</v>
      </c>
      <c r="D46" s="12" t="s">
        <v>9</v>
      </c>
      <c r="E46" s="12" t="s">
        <v>10</v>
      </c>
      <c r="F46" s="12" t="s">
        <v>11</v>
      </c>
      <c r="G46" s="12" t="s">
        <v>12</v>
      </c>
      <c r="H46" s="15" t="s">
        <v>13</v>
      </c>
      <c r="I46" s="18"/>
      <c r="J46" s="18"/>
    </row>
    <row r="47" spans="1:10" x14ac:dyDescent="0.25">
      <c r="A47" s="21" t="s">
        <v>55</v>
      </c>
      <c r="B47" s="21"/>
      <c r="C47" s="11">
        <v>113310</v>
      </c>
      <c r="D47" s="11">
        <v>510</v>
      </c>
      <c r="E47" s="11">
        <v>85450</v>
      </c>
      <c r="F47" s="11">
        <v>0</v>
      </c>
      <c r="G47" s="11">
        <f>SUM(C47:F47)</f>
        <v>199270</v>
      </c>
      <c r="H47" s="17">
        <f>ROUND(G47/509,2)</f>
        <v>391.49</v>
      </c>
      <c r="I47" s="10"/>
      <c r="J47" s="10"/>
    </row>
    <row r="48" spans="1:10" x14ac:dyDescent="0.25">
      <c r="A48" s="21" t="s">
        <v>56</v>
      </c>
      <c r="B48" s="21"/>
      <c r="C48" s="11">
        <v>108260</v>
      </c>
      <c r="D48" s="11">
        <v>0</v>
      </c>
      <c r="E48" s="11">
        <v>13849</v>
      </c>
      <c r="F48" s="11">
        <v>0</v>
      </c>
      <c r="G48" s="11">
        <f>SUM(C48:F48)</f>
        <v>122109</v>
      </c>
      <c r="H48" s="17">
        <f>ROUND(G48/509,2)</f>
        <v>239.9</v>
      </c>
      <c r="I48" s="10"/>
      <c r="J48" s="10"/>
    </row>
    <row r="49" spans="1:10" x14ac:dyDescent="0.25">
      <c r="A49" s="21" t="s">
        <v>57</v>
      </c>
      <c r="B49" s="21"/>
      <c r="C49" s="11">
        <v>0</v>
      </c>
      <c r="D49" s="11">
        <v>0</v>
      </c>
      <c r="E49" s="11">
        <v>0</v>
      </c>
      <c r="F49" s="11">
        <v>0</v>
      </c>
      <c r="G49" s="11">
        <f>SUM(C49:F49)</f>
        <v>0</v>
      </c>
      <c r="H49" s="17">
        <f>ROUND(G49/509,2)</f>
        <v>0</v>
      </c>
      <c r="I49" s="10"/>
      <c r="J49" s="10"/>
    </row>
    <row r="50" spans="1:10" x14ac:dyDescent="0.25">
      <c r="C50" s="9"/>
      <c r="D50" s="9"/>
      <c r="E50" s="9"/>
      <c r="F50" s="9"/>
      <c r="G50" s="9"/>
      <c r="H50" s="9"/>
      <c r="I50" s="10"/>
      <c r="J50" s="10"/>
    </row>
    <row r="51" spans="1:10" x14ac:dyDescent="0.25">
      <c r="C51" s="9"/>
      <c r="D51" s="9"/>
      <c r="E51" s="9"/>
      <c r="F51" s="9"/>
      <c r="G51" s="9"/>
      <c r="H51" s="9"/>
      <c r="I51" s="10"/>
      <c r="J51" s="10"/>
    </row>
    <row r="52" spans="1:10" x14ac:dyDescent="0.25">
      <c r="C52" s="9"/>
      <c r="D52" s="9"/>
      <c r="E52" s="9"/>
      <c r="F52" s="9"/>
      <c r="G52" s="9"/>
      <c r="H52" s="9"/>
      <c r="I52" s="10"/>
      <c r="J52" s="10"/>
    </row>
    <row r="53" spans="1:10" x14ac:dyDescent="0.25">
      <c r="C53" s="9"/>
      <c r="D53" s="9"/>
      <c r="E53" s="9"/>
      <c r="F53" s="9"/>
      <c r="G53" s="9"/>
      <c r="H53" s="9"/>
      <c r="I53" s="10"/>
      <c r="J53" s="10"/>
    </row>
    <row r="54" spans="1:10" x14ac:dyDescent="0.25">
      <c r="A54" s="26" t="s">
        <v>58</v>
      </c>
      <c r="B54" s="26"/>
      <c r="C54" s="15" t="s">
        <v>2</v>
      </c>
      <c r="D54" s="15">
        <v>2024</v>
      </c>
      <c r="E54" s="15" t="s">
        <v>60</v>
      </c>
      <c r="F54" s="14"/>
      <c r="G54" s="15" t="s">
        <v>61</v>
      </c>
      <c r="H54" s="15" t="s">
        <v>2</v>
      </c>
      <c r="I54" s="13" t="s">
        <v>62</v>
      </c>
      <c r="J54" s="13" t="s">
        <v>60</v>
      </c>
    </row>
    <row r="55" spans="1:10" x14ac:dyDescent="0.25">
      <c r="A55" s="21" t="s">
        <v>59</v>
      </c>
      <c r="B55" s="21"/>
      <c r="C55" s="16">
        <f>ROUND(0.6342, 4)</f>
        <v>0.63419999999999999</v>
      </c>
      <c r="D55" s="16">
        <f>ROUND(0.5925, 4)</f>
        <v>0.59250000000000003</v>
      </c>
      <c r="E55" s="16">
        <f>ROUND(0.7856, 4)</f>
        <v>0.78559999999999997</v>
      </c>
      <c r="F55" s="9"/>
      <c r="G55" s="15" t="s">
        <v>63</v>
      </c>
      <c r="H55" s="27" t="s">
        <v>64</v>
      </c>
      <c r="I55" s="24" t="s">
        <v>65</v>
      </c>
      <c r="J55" s="24" t="s">
        <v>66</v>
      </c>
    </row>
    <row r="56" spans="1:10" x14ac:dyDescent="0.25">
      <c r="A56" s="21" t="s">
        <v>67</v>
      </c>
      <c r="B56" s="21"/>
      <c r="C56" s="16">
        <f>ROUND(0.6342, 4)</f>
        <v>0.63419999999999999</v>
      </c>
      <c r="D56" s="16">
        <f>ROUND(0.5599, 4)</f>
        <v>0.55989999999999995</v>
      </c>
      <c r="E56" s="16">
        <f>ROUND(0.7702, 4)</f>
        <v>0.7702</v>
      </c>
      <c r="F56" s="9"/>
      <c r="G56" s="15" t="s">
        <v>68</v>
      </c>
      <c r="H56" s="28"/>
      <c r="I56" s="25"/>
      <c r="J56" s="25"/>
    </row>
    <row r="57" spans="1:10" x14ac:dyDescent="0.25">
      <c r="C57" s="9"/>
      <c r="D57" s="9"/>
      <c r="E57" s="9"/>
      <c r="F57" s="9"/>
      <c r="G57" s="9"/>
      <c r="H57" s="9"/>
      <c r="I57" s="10"/>
      <c r="J57" s="10"/>
    </row>
    <row r="58" spans="1:10" x14ac:dyDescent="0.25">
      <c r="C58" s="9"/>
      <c r="D58" s="9"/>
      <c r="E58" s="9"/>
      <c r="F58" s="9"/>
      <c r="G58" s="9"/>
      <c r="H58" s="9"/>
      <c r="I58" s="10"/>
      <c r="J58" s="10"/>
    </row>
    <row r="59" spans="1:10" x14ac:dyDescent="0.25">
      <c r="C59" s="9"/>
      <c r="D59" s="9"/>
      <c r="E59" s="9"/>
      <c r="F59" s="9"/>
      <c r="G59" s="9"/>
      <c r="H59" s="9"/>
      <c r="I59" s="10"/>
      <c r="J59" s="10"/>
    </row>
    <row r="60" spans="1:10" x14ac:dyDescent="0.25">
      <c r="A60" s="26" t="s">
        <v>69</v>
      </c>
      <c r="B60" s="26"/>
      <c r="C60" s="15" t="s">
        <v>2</v>
      </c>
      <c r="D60" s="15" t="s">
        <v>273</v>
      </c>
      <c r="E60" s="15" t="s">
        <v>71</v>
      </c>
      <c r="F60" s="15" t="s">
        <v>72</v>
      </c>
      <c r="G60" s="15" t="s">
        <v>73</v>
      </c>
      <c r="H60" s="14"/>
      <c r="I60" s="18"/>
      <c r="J60" s="18"/>
    </row>
    <row r="61" spans="1:10" x14ac:dyDescent="0.25">
      <c r="A61" s="21" t="s">
        <v>74</v>
      </c>
      <c r="B61" s="21"/>
      <c r="C61" s="17">
        <v>210.77</v>
      </c>
      <c r="D61" s="17">
        <v>173.74</v>
      </c>
      <c r="E61" s="17">
        <v>96.15</v>
      </c>
      <c r="F61" s="17">
        <v>57.94</v>
      </c>
      <c r="G61" s="17">
        <f>12/12*C61</f>
        <v>210.77</v>
      </c>
      <c r="H61" s="9"/>
      <c r="I61" s="10"/>
      <c r="J61" s="10"/>
    </row>
    <row r="62" spans="1:10" x14ac:dyDescent="0.25">
      <c r="A62" s="21" t="s">
        <v>75</v>
      </c>
      <c r="B62" s="21"/>
      <c r="C62" s="17">
        <v>53.01</v>
      </c>
      <c r="D62" s="17">
        <v>51.97</v>
      </c>
      <c r="E62" s="17">
        <v>62.28</v>
      </c>
      <c r="F62" s="17">
        <v>66.599999999999994</v>
      </c>
      <c r="G62" s="17">
        <f>12/12*C62</f>
        <v>53.01</v>
      </c>
      <c r="H62" s="9"/>
      <c r="I62" s="10"/>
      <c r="J62" s="10"/>
    </row>
    <row r="63" spans="1:10" x14ac:dyDescent="0.25">
      <c r="A63" s="21" t="s">
        <v>76</v>
      </c>
      <c r="B63" s="21"/>
      <c r="C63" s="17">
        <v>391.49</v>
      </c>
      <c r="D63" s="17">
        <v>330.67</v>
      </c>
      <c r="E63" s="17">
        <v>300.02</v>
      </c>
      <c r="F63" s="17">
        <v>295.08</v>
      </c>
      <c r="G63" s="17">
        <f>12/12*C63</f>
        <v>391.49</v>
      </c>
      <c r="H63" s="9"/>
      <c r="I63" s="10"/>
      <c r="J63" s="10"/>
    </row>
    <row r="64" spans="1:10" x14ac:dyDescent="0.25">
      <c r="A64" s="21" t="s">
        <v>77</v>
      </c>
      <c r="B64" s="21"/>
      <c r="C64" s="17">
        <v>239.9</v>
      </c>
      <c r="D64" s="17">
        <v>193.27</v>
      </c>
      <c r="E64" s="17">
        <v>120.96</v>
      </c>
      <c r="F64" s="17">
        <v>83.12</v>
      </c>
      <c r="G64" s="17">
        <f>12/12*C64</f>
        <v>239.9</v>
      </c>
      <c r="H64" s="9"/>
      <c r="I64" s="10"/>
      <c r="J64" s="10"/>
    </row>
    <row r="65" spans="1:10" x14ac:dyDescent="0.25">
      <c r="C65" s="9"/>
      <c r="D65" s="9"/>
      <c r="E65" s="9"/>
      <c r="F65" s="9"/>
      <c r="G65" s="9"/>
      <c r="H65" s="9"/>
      <c r="I65" s="10"/>
      <c r="J65" s="10"/>
    </row>
    <row r="66" spans="1:10" x14ac:dyDescent="0.25">
      <c r="C66" s="9"/>
      <c r="D66" s="9"/>
      <c r="E66" s="9"/>
      <c r="F66" s="9"/>
      <c r="G66" s="9"/>
      <c r="H66" s="9"/>
      <c r="I66" s="10"/>
      <c r="J66" s="10"/>
    </row>
    <row r="67" spans="1:10" x14ac:dyDescent="0.25">
      <c r="A67" s="22" t="s">
        <v>61</v>
      </c>
      <c r="B67" s="23"/>
      <c r="C67" s="9"/>
      <c r="D67" s="9"/>
      <c r="E67" s="9"/>
      <c r="F67" s="9"/>
      <c r="G67" s="9"/>
      <c r="H67" s="9"/>
      <c r="I67" s="10"/>
      <c r="J67" s="10"/>
    </row>
    <row r="68" spans="1:10" x14ac:dyDescent="0.25">
      <c r="A68" s="3" t="s">
        <v>78</v>
      </c>
      <c r="B68" s="1" t="s">
        <v>274</v>
      </c>
      <c r="C68" s="9"/>
      <c r="D68" s="9"/>
      <c r="E68" s="9"/>
      <c r="F68" s="9"/>
      <c r="G68" s="9"/>
      <c r="H68" s="9"/>
      <c r="I68" s="10"/>
      <c r="J68" s="10"/>
    </row>
    <row r="69" spans="1:10" x14ac:dyDescent="0.25">
      <c r="A69" s="3" t="s">
        <v>71</v>
      </c>
      <c r="B69" s="1" t="s">
        <v>80</v>
      </c>
      <c r="C69" s="9"/>
      <c r="D69" s="9"/>
      <c r="E69" s="9"/>
      <c r="F69" s="9"/>
      <c r="G69" s="9"/>
      <c r="H69" s="9"/>
      <c r="I69" s="10"/>
      <c r="J69" s="10"/>
    </row>
    <row r="70" spans="1:10" x14ac:dyDescent="0.25">
      <c r="A70" s="3" t="s">
        <v>72</v>
      </c>
      <c r="B70" s="1" t="s">
        <v>81</v>
      </c>
      <c r="C70" s="9"/>
      <c r="D70" s="9"/>
      <c r="E70" s="9"/>
      <c r="F70" s="9"/>
      <c r="G70" s="9"/>
      <c r="H70" s="9"/>
      <c r="I70" s="10"/>
      <c r="J70" s="10"/>
    </row>
    <row r="71" spans="1:10" x14ac:dyDescent="0.25">
      <c r="A71" s="3" t="s">
        <v>73</v>
      </c>
      <c r="B71" s="1" t="s">
        <v>82</v>
      </c>
      <c r="C71" s="9"/>
      <c r="D71" s="9"/>
      <c r="E71" s="9"/>
      <c r="F71" s="9"/>
      <c r="G71" s="9"/>
      <c r="H71" s="9"/>
      <c r="I71" s="10"/>
      <c r="J71" s="10"/>
    </row>
  </sheetData>
  <mergeCells count="19">
    <mergeCell ref="C7:G7"/>
    <mergeCell ref="A40:B40"/>
    <mergeCell ref="A41:B41"/>
    <mergeCell ref="A46:B46"/>
    <mergeCell ref="A47:B47"/>
    <mergeCell ref="J55:J56"/>
    <mergeCell ref="A56:B56"/>
    <mergeCell ref="A60:B60"/>
    <mergeCell ref="A61:B61"/>
    <mergeCell ref="A48:B48"/>
    <mergeCell ref="A49:B49"/>
    <mergeCell ref="A54:B54"/>
    <mergeCell ref="A55:B55"/>
    <mergeCell ref="H55:H56"/>
    <mergeCell ref="A62:B62"/>
    <mergeCell ref="A63:B63"/>
    <mergeCell ref="A64:B64"/>
    <mergeCell ref="A67:B67"/>
    <mergeCell ref="I55:I56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J75"/>
  <sheetViews>
    <sheetView workbookViewId="0">
      <selection activeCell="H5" sqref="H5"/>
    </sheetView>
  </sheetViews>
  <sheetFormatPr defaultRowHeight="15" x14ac:dyDescent="0.25"/>
  <cols>
    <col min="1" max="1" width="28.42578125" bestFit="1" customWidth="1"/>
    <col min="2" max="2" width="59.5703125" bestFit="1" customWidth="1"/>
    <col min="3" max="3" width="12.7109375" bestFit="1" customWidth="1"/>
    <col min="4" max="4" width="20.42578125" bestFit="1" customWidth="1"/>
    <col min="5" max="5" width="13.85546875" bestFit="1" customWidth="1"/>
    <col min="6" max="6" width="8.5703125" bestFit="1" customWidth="1"/>
    <col min="7" max="7" width="47.7109375" bestFit="1" customWidth="1"/>
    <col min="8" max="9" width="16.7109375" bestFit="1" customWidth="1"/>
    <col min="10" max="10" width="24.42578125" bestFit="1" customWidth="1"/>
  </cols>
  <sheetData>
    <row r="2" spans="1:10" ht="18.75" x14ac:dyDescent="0.3">
      <c r="A2" s="3" t="s">
        <v>0</v>
      </c>
      <c r="B2" s="4" t="s">
        <v>275</v>
      </c>
    </row>
    <row r="3" spans="1:10" x14ac:dyDescent="0.25">
      <c r="A3" s="3" t="s">
        <v>2</v>
      </c>
      <c r="B3" s="1" t="s">
        <v>3</v>
      </c>
    </row>
    <row r="4" spans="1:10" x14ac:dyDescent="0.25">
      <c r="A4" s="3" t="s">
        <v>4</v>
      </c>
      <c r="B4" s="20">
        <v>437</v>
      </c>
    </row>
    <row r="7" spans="1:10" x14ac:dyDescent="0.25">
      <c r="C7" s="22" t="s">
        <v>5</v>
      </c>
      <c r="D7" s="21"/>
      <c r="E7" s="21"/>
      <c r="F7" s="21"/>
      <c r="G7" s="21"/>
    </row>
    <row r="8" spans="1:10" x14ac:dyDescent="0.25">
      <c r="A8" s="3" t="s">
        <v>6</v>
      </c>
      <c r="B8" s="3" t="s">
        <v>7</v>
      </c>
      <c r="C8" s="15" t="s">
        <v>8</v>
      </c>
      <c r="D8" s="15" t="s">
        <v>9</v>
      </c>
      <c r="E8" s="15" t="s">
        <v>10</v>
      </c>
      <c r="F8" s="15" t="s">
        <v>11</v>
      </c>
      <c r="G8" s="15" t="s">
        <v>12</v>
      </c>
      <c r="H8" s="15" t="s">
        <v>13</v>
      </c>
      <c r="I8" s="15" t="s">
        <v>14</v>
      </c>
      <c r="J8" s="15" t="s">
        <v>15</v>
      </c>
    </row>
    <row r="9" spans="1:10" x14ac:dyDescent="0.25">
      <c r="A9" s="1" t="s">
        <v>16</v>
      </c>
      <c r="B9" s="1" t="s">
        <v>17</v>
      </c>
      <c r="C9" s="11"/>
      <c r="D9" s="11"/>
      <c r="E9" s="11">
        <v>20</v>
      </c>
      <c r="F9" s="11"/>
      <c r="G9" s="11">
        <f t="shared" ref="G9:G39" si="0">SUM(C9:F9)</f>
        <v>20</v>
      </c>
      <c r="H9" s="17">
        <f t="shared" ref="H9:H39" si="1">ROUND(G9/437,2)</f>
        <v>0.05</v>
      </c>
      <c r="I9" s="16">
        <f t="shared" ref="I9:I39" si="2">ROUND(G9/$G$40,3)</f>
        <v>0</v>
      </c>
      <c r="J9" s="16">
        <f>ROUND(G9/10-1,2)</f>
        <v>1</v>
      </c>
    </row>
    <row r="10" spans="1:10" x14ac:dyDescent="0.25">
      <c r="A10" s="1" t="s">
        <v>16</v>
      </c>
      <c r="B10" s="1" t="s">
        <v>19</v>
      </c>
      <c r="C10" s="11">
        <v>12450</v>
      </c>
      <c r="D10" s="11"/>
      <c r="E10" s="11">
        <v>2007</v>
      </c>
      <c r="F10" s="11"/>
      <c r="G10" s="11">
        <f t="shared" si="0"/>
        <v>14457</v>
      </c>
      <c r="H10" s="17">
        <f t="shared" si="1"/>
        <v>33.08</v>
      </c>
      <c r="I10" s="16">
        <f t="shared" si="2"/>
        <v>6.3E-2</v>
      </c>
      <c r="J10" s="16">
        <f>ROUND(G10/14658-1,2)</f>
        <v>-0.01</v>
      </c>
    </row>
    <row r="11" spans="1:10" x14ac:dyDescent="0.25">
      <c r="A11" s="1" t="s">
        <v>16</v>
      </c>
      <c r="B11" s="1" t="s">
        <v>20</v>
      </c>
      <c r="C11" s="11">
        <v>19230</v>
      </c>
      <c r="D11" s="11">
        <v>680</v>
      </c>
      <c r="E11" s="11"/>
      <c r="F11" s="11"/>
      <c r="G11" s="11">
        <f t="shared" si="0"/>
        <v>19910</v>
      </c>
      <c r="H11" s="17">
        <f t="shared" si="1"/>
        <v>45.56</v>
      </c>
      <c r="I11" s="16">
        <f t="shared" si="2"/>
        <v>8.6999999999999994E-2</v>
      </c>
      <c r="J11" s="16">
        <f>ROUND(G11/17432-1,2)</f>
        <v>0.14000000000000001</v>
      </c>
    </row>
    <row r="12" spans="1:10" x14ac:dyDescent="0.25">
      <c r="A12" s="1" t="s">
        <v>16</v>
      </c>
      <c r="B12" s="1" t="s">
        <v>21</v>
      </c>
      <c r="C12" s="11"/>
      <c r="D12" s="11"/>
      <c r="E12" s="11">
        <v>35</v>
      </c>
      <c r="F12" s="11"/>
      <c r="G12" s="11">
        <f t="shared" si="0"/>
        <v>35</v>
      </c>
      <c r="H12" s="17">
        <f t="shared" si="1"/>
        <v>0.08</v>
      </c>
      <c r="I12" s="16">
        <f t="shared" si="2"/>
        <v>0</v>
      </c>
      <c r="J12" s="16">
        <f>ROUND(G12/38-1,2)</f>
        <v>-0.08</v>
      </c>
    </row>
    <row r="13" spans="1:10" x14ac:dyDescent="0.25">
      <c r="A13" s="1" t="s">
        <v>16</v>
      </c>
      <c r="B13" s="1" t="s">
        <v>22</v>
      </c>
      <c r="C13" s="11"/>
      <c r="D13" s="11"/>
      <c r="E13" s="11">
        <v>384</v>
      </c>
      <c r="F13" s="11"/>
      <c r="G13" s="11">
        <f t="shared" si="0"/>
        <v>384</v>
      </c>
      <c r="H13" s="17">
        <f t="shared" si="1"/>
        <v>0.88</v>
      </c>
      <c r="I13" s="16">
        <f t="shared" si="2"/>
        <v>2E-3</v>
      </c>
      <c r="J13" s="16">
        <f>ROUND(G13/669-1,2)</f>
        <v>-0.43</v>
      </c>
    </row>
    <row r="14" spans="1:10" x14ac:dyDescent="0.25">
      <c r="A14" s="1" t="s">
        <v>16</v>
      </c>
      <c r="B14" s="1" t="s">
        <v>23</v>
      </c>
      <c r="C14" s="11"/>
      <c r="D14" s="11"/>
      <c r="E14" s="11">
        <v>49771</v>
      </c>
      <c r="F14" s="11">
        <v>4620</v>
      </c>
      <c r="G14" s="11">
        <f t="shared" si="0"/>
        <v>54391</v>
      </c>
      <c r="H14" s="17">
        <f t="shared" si="1"/>
        <v>124.46</v>
      </c>
      <c r="I14" s="16">
        <f t="shared" si="2"/>
        <v>0.23699999999999999</v>
      </c>
      <c r="J14" s="16">
        <f>ROUND(G14/34012-1,2)</f>
        <v>0.6</v>
      </c>
    </row>
    <row r="15" spans="1:10" x14ac:dyDescent="0.25">
      <c r="A15" s="1" t="s">
        <v>16</v>
      </c>
      <c r="B15" s="1" t="s">
        <v>24</v>
      </c>
      <c r="C15" s="11">
        <v>12510</v>
      </c>
      <c r="D15" s="11"/>
      <c r="E15" s="11">
        <v>3960</v>
      </c>
      <c r="F15" s="11"/>
      <c r="G15" s="11">
        <f t="shared" si="0"/>
        <v>16470</v>
      </c>
      <c r="H15" s="17">
        <f t="shared" si="1"/>
        <v>37.69</v>
      </c>
      <c r="I15" s="16">
        <f t="shared" si="2"/>
        <v>7.1999999999999995E-2</v>
      </c>
      <c r="J15" s="16">
        <f>ROUND(G15/20089-1,2)</f>
        <v>-0.18</v>
      </c>
    </row>
    <row r="16" spans="1:10" x14ac:dyDescent="0.25">
      <c r="A16" s="1" t="s">
        <v>16</v>
      </c>
      <c r="B16" s="1" t="s">
        <v>25</v>
      </c>
      <c r="C16" s="11"/>
      <c r="D16" s="11"/>
      <c r="E16" s="11">
        <v>1875</v>
      </c>
      <c r="F16" s="11"/>
      <c r="G16" s="11">
        <f t="shared" si="0"/>
        <v>1875</v>
      </c>
      <c r="H16" s="17">
        <f t="shared" si="1"/>
        <v>4.29</v>
      </c>
      <c r="I16" s="16">
        <f t="shared" si="2"/>
        <v>8.0000000000000002E-3</v>
      </c>
      <c r="J16" s="16">
        <f>ROUND(G16/4488-1,2)</f>
        <v>-0.57999999999999996</v>
      </c>
    </row>
    <row r="17" spans="1:10" x14ac:dyDescent="0.25">
      <c r="A17" s="1" t="s">
        <v>16</v>
      </c>
      <c r="B17" s="1" t="s">
        <v>26</v>
      </c>
      <c r="C17" s="11">
        <v>14840</v>
      </c>
      <c r="D17" s="11"/>
      <c r="E17" s="11"/>
      <c r="F17" s="11"/>
      <c r="G17" s="11">
        <f t="shared" si="0"/>
        <v>14840</v>
      </c>
      <c r="H17" s="17">
        <f t="shared" si="1"/>
        <v>33.96</v>
      </c>
      <c r="I17" s="16">
        <f t="shared" si="2"/>
        <v>6.5000000000000002E-2</v>
      </c>
      <c r="J17" s="16">
        <f>ROUND(G17/16250-1,2)</f>
        <v>-0.09</v>
      </c>
    </row>
    <row r="18" spans="1:10" x14ac:dyDescent="0.25">
      <c r="A18" s="1" t="s">
        <v>16</v>
      </c>
      <c r="B18" s="1" t="s">
        <v>27</v>
      </c>
      <c r="C18" s="11"/>
      <c r="D18" s="11"/>
      <c r="E18" s="11">
        <v>398</v>
      </c>
      <c r="F18" s="11"/>
      <c r="G18" s="11">
        <f t="shared" si="0"/>
        <v>398</v>
      </c>
      <c r="H18" s="17">
        <f t="shared" si="1"/>
        <v>0.91</v>
      </c>
      <c r="I18" s="16">
        <f t="shared" si="2"/>
        <v>2E-3</v>
      </c>
      <c r="J18" s="16">
        <f>ROUND(G18/375-1,2)</f>
        <v>0.06</v>
      </c>
    </row>
    <row r="19" spans="1:10" x14ac:dyDescent="0.25">
      <c r="A19" s="1" t="s">
        <v>16</v>
      </c>
      <c r="B19" s="1" t="s">
        <v>28</v>
      </c>
      <c r="C19" s="11"/>
      <c r="D19" s="11"/>
      <c r="E19" s="11">
        <v>188</v>
      </c>
      <c r="F19" s="11"/>
      <c r="G19" s="11">
        <f t="shared" si="0"/>
        <v>188</v>
      </c>
      <c r="H19" s="17">
        <f t="shared" si="1"/>
        <v>0.43</v>
      </c>
      <c r="I19" s="16">
        <f t="shared" si="2"/>
        <v>1E-3</v>
      </c>
      <c r="J19" s="16">
        <f>ROUND(G19/311-1,2)</f>
        <v>-0.4</v>
      </c>
    </row>
    <row r="20" spans="1:10" x14ac:dyDescent="0.25">
      <c r="A20" s="1" t="s">
        <v>16</v>
      </c>
      <c r="B20" s="1" t="s">
        <v>29</v>
      </c>
      <c r="C20" s="11"/>
      <c r="D20" s="11"/>
      <c r="E20" s="11">
        <v>29</v>
      </c>
      <c r="F20" s="11"/>
      <c r="G20" s="11">
        <f t="shared" si="0"/>
        <v>29</v>
      </c>
      <c r="H20" s="17">
        <f t="shared" si="1"/>
        <v>7.0000000000000007E-2</v>
      </c>
      <c r="I20" s="16">
        <f t="shared" si="2"/>
        <v>0</v>
      </c>
      <c r="J20" s="16">
        <f>ROUND(G20/28-1,2)</f>
        <v>0.04</v>
      </c>
    </row>
    <row r="21" spans="1:10" x14ac:dyDescent="0.25">
      <c r="A21" s="1" t="s">
        <v>16</v>
      </c>
      <c r="B21" s="1" t="s">
        <v>30</v>
      </c>
      <c r="C21" s="11"/>
      <c r="D21" s="11"/>
      <c r="E21" s="11">
        <v>955</v>
      </c>
      <c r="F21" s="11"/>
      <c r="G21" s="11">
        <f t="shared" si="0"/>
        <v>955</v>
      </c>
      <c r="H21" s="17">
        <f t="shared" si="1"/>
        <v>2.19</v>
      </c>
      <c r="I21" s="16">
        <f t="shared" si="2"/>
        <v>4.0000000000000001E-3</v>
      </c>
      <c r="J21" s="16">
        <f>ROUND(G21/1515-1,2)</f>
        <v>-0.37</v>
      </c>
    </row>
    <row r="22" spans="1:10" x14ac:dyDescent="0.25">
      <c r="A22" s="1" t="s">
        <v>16</v>
      </c>
      <c r="B22" s="1" t="s">
        <v>31</v>
      </c>
      <c r="C22" s="11"/>
      <c r="D22" s="11"/>
      <c r="E22" s="11">
        <v>91</v>
      </c>
      <c r="F22" s="11"/>
      <c r="G22" s="11">
        <f t="shared" si="0"/>
        <v>91</v>
      </c>
      <c r="H22" s="17">
        <f t="shared" si="1"/>
        <v>0.21</v>
      </c>
      <c r="I22" s="16">
        <f t="shared" si="2"/>
        <v>0</v>
      </c>
      <c r="J22" s="16">
        <f>ROUND(G22/102-1,2)</f>
        <v>-0.11</v>
      </c>
    </row>
    <row r="23" spans="1:10" x14ac:dyDescent="0.25">
      <c r="A23" s="1" t="s">
        <v>16</v>
      </c>
      <c r="B23" s="1" t="s">
        <v>32</v>
      </c>
      <c r="C23" s="11"/>
      <c r="D23" s="11"/>
      <c r="E23" s="11">
        <v>139</v>
      </c>
      <c r="F23" s="11"/>
      <c r="G23" s="11">
        <f t="shared" si="0"/>
        <v>139</v>
      </c>
      <c r="H23" s="17">
        <f t="shared" si="1"/>
        <v>0.32</v>
      </c>
      <c r="I23" s="16">
        <f t="shared" si="2"/>
        <v>1E-3</v>
      </c>
      <c r="J23" s="16">
        <f>ROUND(G23/91-1,2)</f>
        <v>0.53</v>
      </c>
    </row>
    <row r="24" spans="1:10" x14ac:dyDescent="0.25">
      <c r="A24" s="1" t="s">
        <v>16</v>
      </c>
      <c r="B24" s="1" t="s">
        <v>33</v>
      </c>
      <c r="C24" s="11"/>
      <c r="D24" s="11"/>
      <c r="E24" s="11">
        <v>422</v>
      </c>
      <c r="F24" s="11"/>
      <c r="G24" s="11">
        <f t="shared" si="0"/>
        <v>422</v>
      </c>
      <c r="H24" s="17">
        <f t="shared" si="1"/>
        <v>0.97</v>
      </c>
      <c r="I24" s="16">
        <f t="shared" si="2"/>
        <v>2E-3</v>
      </c>
      <c r="J24" s="16">
        <f>ROUND(G24/264-1,2)</f>
        <v>0.6</v>
      </c>
    </row>
    <row r="25" spans="1:10" x14ac:dyDescent="0.25">
      <c r="A25" s="1" t="s">
        <v>16</v>
      </c>
      <c r="B25" s="1" t="s">
        <v>34</v>
      </c>
      <c r="C25" s="11"/>
      <c r="D25" s="11"/>
      <c r="E25" s="11">
        <v>33</v>
      </c>
      <c r="F25" s="11"/>
      <c r="G25" s="11">
        <f t="shared" si="0"/>
        <v>33</v>
      </c>
      <c r="H25" s="17">
        <f t="shared" si="1"/>
        <v>0.08</v>
      </c>
      <c r="I25" s="16">
        <f t="shared" si="2"/>
        <v>0</v>
      </c>
      <c r="J25" s="16">
        <f>ROUND(G25/41-1,2)</f>
        <v>-0.2</v>
      </c>
    </row>
    <row r="26" spans="1:10" x14ac:dyDescent="0.25">
      <c r="A26" s="1" t="s">
        <v>16</v>
      </c>
      <c r="B26" s="1" t="s">
        <v>36</v>
      </c>
      <c r="C26" s="11"/>
      <c r="D26" s="11"/>
      <c r="E26" s="11">
        <v>89</v>
      </c>
      <c r="F26" s="11"/>
      <c r="G26" s="11">
        <f t="shared" si="0"/>
        <v>89</v>
      </c>
      <c r="H26" s="17">
        <f t="shared" si="1"/>
        <v>0.2</v>
      </c>
      <c r="I26" s="16">
        <f t="shared" si="2"/>
        <v>0</v>
      </c>
      <c r="J26" s="16">
        <f>ROUND(G26/59-1,2)</f>
        <v>0.51</v>
      </c>
    </row>
    <row r="27" spans="1:10" x14ac:dyDescent="0.25">
      <c r="A27" s="1" t="s">
        <v>16</v>
      </c>
      <c r="B27" s="1" t="s">
        <v>35</v>
      </c>
      <c r="C27" s="11"/>
      <c r="D27" s="11"/>
      <c r="E27" s="11">
        <v>826</v>
      </c>
      <c r="F27" s="11"/>
      <c r="G27" s="11">
        <f t="shared" si="0"/>
        <v>826</v>
      </c>
      <c r="H27" s="17">
        <f t="shared" si="1"/>
        <v>1.89</v>
      </c>
      <c r="I27" s="16">
        <f t="shared" si="2"/>
        <v>4.0000000000000001E-3</v>
      </c>
      <c r="J27" s="16"/>
    </row>
    <row r="28" spans="1:10" x14ac:dyDescent="0.25">
      <c r="A28" s="1" t="s">
        <v>16</v>
      </c>
      <c r="B28" s="1" t="s">
        <v>37</v>
      </c>
      <c r="C28" s="11"/>
      <c r="D28" s="11"/>
      <c r="E28" s="11">
        <v>741</v>
      </c>
      <c r="F28" s="11"/>
      <c r="G28" s="11">
        <f t="shared" si="0"/>
        <v>741</v>
      </c>
      <c r="H28" s="17">
        <f t="shared" si="1"/>
        <v>1.7</v>
      </c>
      <c r="I28" s="16">
        <f t="shared" si="2"/>
        <v>3.0000000000000001E-3</v>
      </c>
      <c r="J28" s="16">
        <f>ROUND(G28/529-1,2)</f>
        <v>0.4</v>
      </c>
    </row>
    <row r="29" spans="1:10" x14ac:dyDescent="0.25">
      <c r="A29" s="1" t="s">
        <v>16</v>
      </c>
      <c r="B29" s="1" t="s">
        <v>39</v>
      </c>
      <c r="C29" s="11"/>
      <c r="D29" s="11"/>
      <c r="E29" s="11">
        <v>2162</v>
      </c>
      <c r="F29" s="11"/>
      <c r="G29" s="11">
        <f t="shared" si="0"/>
        <v>2162</v>
      </c>
      <c r="H29" s="17">
        <f t="shared" si="1"/>
        <v>4.95</v>
      </c>
      <c r="I29" s="16">
        <f t="shared" si="2"/>
        <v>8.9999999999999993E-3</v>
      </c>
      <c r="J29" s="16">
        <f>ROUND(G29/2134-1,2)</f>
        <v>0.01</v>
      </c>
    </row>
    <row r="30" spans="1:10" x14ac:dyDescent="0.25">
      <c r="A30" s="1" t="s">
        <v>16</v>
      </c>
      <c r="B30" s="1" t="s">
        <v>38</v>
      </c>
      <c r="C30" s="11"/>
      <c r="D30" s="11"/>
      <c r="E30" s="11">
        <v>1095</v>
      </c>
      <c r="F30" s="11"/>
      <c r="G30" s="11">
        <f t="shared" si="0"/>
        <v>1095</v>
      </c>
      <c r="H30" s="17">
        <f t="shared" si="1"/>
        <v>2.5099999999999998</v>
      </c>
      <c r="I30" s="16">
        <f t="shared" si="2"/>
        <v>5.0000000000000001E-3</v>
      </c>
      <c r="J30" s="16">
        <f>ROUND(G30/1857-1,2)</f>
        <v>-0.41</v>
      </c>
    </row>
    <row r="31" spans="1:10" x14ac:dyDescent="0.25">
      <c r="A31" s="1" t="s">
        <v>16</v>
      </c>
      <c r="B31" s="1" t="s">
        <v>40</v>
      </c>
      <c r="C31" s="11"/>
      <c r="D31" s="11"/>
      <c r="E31" s="11">
        <v>11990</v>
      </c>
      <c r="F31" s="11"/>
      <c r="G31" s="11">
        <f t="shared" si="0"/>
        <v>11990</v>
      </c>
      <c r="H31" s="17">
        <f t="shared" si="1"/>
        <v>27.44</v>
      </c>
      <c r="I31" s="16">
        <f t="shared" si="2"/>
        <v>5.1999999999999998E-2</v>
      </c>
      <c r="J31" s="16">
        <f>ROUND(G31/12568-1,2)</f>
        <v>-0.05</v>
      </c>
    </row>
    <row r="32" spans="1:10" x14ac:dyDescent="0.25">
      <c r="A32" s="1" t="s">
        <v>16</v>
      </c>
      <c r="B32" s="1" t="s">
        <v>42</v>
      </c>
      <c r="C32" s="11"/>
      <c r="D32" s="11"/>
      <c r="E32" s="11">
        <v>12820</v>
      </c>
      <c r="F32" s="11"/>
      <c r="G32" s="11">
        <f t="shared" si="0"/>
        <v>12820</v>
      </c>
      <c r="H32" s="17">
        <f t="shared" si="1"/>
        <v>29.34</v>
      </c>
      <c r="I32" s="16">
        <f t="shared" si="2"/>
        <v>5.6000000000000001E-2</v>
      </c>
      <c r="J32" s="16">
        <f>ROUND(G32/9392-1,2)</f>
        <v>0.36</v>
      </c>
    </row>
    <row r="33" spans="1:10" x14ac:dyDescent="0.25">
      <c r="A33" s="1" t="s">
        <v>16</v>
      </c>
      <c r="B33" s="1" t="s">
        <v>44</v>
      </c>
      <c r="C33" s="11"/>
      <c r="D33" s="11"/>
      <c r="E33" s="11">
        <v>8295</v>
      </c>
      <c r="F33" s="11"/>
      <c r="G33" s="11">
        <f t="shared" si="0"/>
        <v>8295</v>
      </c>
      <c r="H33" s="17">
        <f t="shared" si="1"/>
        <v>18.98</v>
      </c>
      <c r="I33" s="16">
        <f t="shared" si="2"/>
        <v>3.5999999999999997E-2</v>
      </c>
      <c r="J33" s="16">
        <f>ROUND(G33/7440-1,2)</f>
        <v>0.11</v>
      </c>
    </row>
    <row r="34" spans="1:10" x14ac:dyDescent="0.25">
      <c r="A34" s="1" t="s">
        <v>16</v>
      </c>
      <c r="B34" s="1" t="s">
        <v>41</v>
      </c>
      <c r="C34" s="11"/>
      <c r="D34" s="11"/>
      <c r="E34" s="11"/>
      <c r="F34" s="11"/>
      <c r="G34" s="11">
        <f t="shared" si="0"/>
        <v>0</v>
      </c>
      <c r="H34" s="17">
        <f t="shared" si="1"/>
        <v>0</v>
      </c>
      <c r="I34" s="16">
        <f t="shared" si="2"/>
        <v>0</v>
      </c>
      <c r="J34" s="16"/>
    </row>
    <row r="35" spans="1:10" x14ac:dyDescent="0.25">
      <c r="A35" s="1" t="s">
        <v>45</v>
      </c>
      <c r="B35" s="1" t="s">
        <v>46</v>
      </c>
      <c r="C35" s="11">
        <v>44530</v>
      </c>
      <c r="D35" s="11"/>
      <c r="E35" s="11"/>
      <c r="F35" s="11">
        <v>100</v>
      </c>
      <c r="G35" s="11">
        <f t="shared" si="0"/>
        <v>44630</v>
      </c>
      <c r="H35" s="17">
        <f t="shared" si="1"/>
        <v>102.13</v>
      </c>
      <c r="I35" s="16">
        <f t="shared" si="2"/>
        <v>0.19400000000000001</v>
      </c>
      <c r="J35" s="16">
        <f>ROUND(G35/43520-1,2)</f>
        <v>0.03</v>
      </c>
    </row>
    <row r="36" spans="1:10" x14ac:dyDescent="0.25">
      <c r="A36" s="1" t="s">
        <v>45</v>
      </c>
      <c r="B36" s="1" t="s">
        <v>48</v>
      </c>
      <c r="C36" s="11"/>
      <c r="D36" s="11"/>
      <c r="E36" s="11"/>
      <c r="F36" s="11">
        <v>4920</v>
      </c>
      <c r="G36" s="11">
        <f t="shared" si="0"/>
        <v>4920</v>
      </c>
      <c r="H36" s="17">
        <f t="shared" si="1"/>
        <v>11.26</v>
      </c>
      <c r="I36" s="16">
        <f t="shared" si="2"/>
        <v>2.1000000000000001E-2</v>
      </c>
      <c r="J36" s="16"/>
    </row>
    <row r="37" spans="1:10" x14ac:dyDescent="0.25">
      <c r="A37" s="1" t="s">
        <v>45</v>
      </c>
      <c r="B37" s="1" t="s">
        <v>47</v>
      </c>
      <c r="C37" s="11"/>
      <c r="D37" s="11"/>
      <c r="E37" s="11">
        <v>17460</v>
      </c>
      <c r="F37" s="11"/>
      <c r="G37" s="11">
        <f t="shared" si="0"/>
        <v>17460</v>
      </c>
      <c r="H37" s="17">
        <f t="shared" si="1"/>
        <v>39.950000000000003</v>
      </c>
      <c r="I37" s="16">
        <f t="shared" si="2"/>
        <v>7.5999999999999998E-2</v>
      </c>
      <c r="J37" s="16">
        <f>ROUND(G37/15823-1,2)</f>
        <v>0.1</v>
      </c>
    </row>
    <row r="38" spans="1:10" x14ac:dyDescent="0.25">
      <c r="A38" s="1" t="s">
        <v>49</v>
      </c>
      <c r="B38" s="1" t="s">
        <v>88</v>
      </c>
      <c r="C38" s="11"/>
      <c r="D38" s="11"/>
      <c r="E38" s="11"/>
      <c r="F38" s="11"/>
      <c r="G38" s="11">
        <f t="shared" si="0"/>
        <v>0</v>
      </c>
      <c r="H38" s="17">
        <f t="shared" si="1"/>
        <v>0</v>
      </c>
      <c r="I38" s="16">
        <f t="shared" si="2"/>
        <v>0</v>
      </c>
      <c r="J38" s="16"/>
    </row>
    <row r="39" spans="1:10" x14ac:dyDescent="0.25">
      <c r="A39" s="1" t="s">
        <v>49</v>
      </c>
      <c r="B39" s="1" t="s">
        <v>52</v>
      </c>
      <c r="C39" s="11"/>
      <c r="D39" s="11"/>
      <c r="E39" s="11"/>
      <c r="F39" s="11"/>
      <c r="G39" s="11">
        <f t="shared" si="0"/>
        <v>0</v>
      </c>
      <c r="H39" s="17">
        <f t="shared" si="1"/>
        <v>0</v>
      </c>
      <c r="I39" s="16">
        <f t="shared" si="2"/>
        <v>0</v>
      </c>
      <c r="J39" s="16"/>
    </row>
    <row r="40" spans="1:10" x14ac:dyDescent="0.25">
      <c r="A40" s="26" t="s">
        <v>12</v>
      </c>
      <c r="B40" s="26"/>
      <c r="C40" s="12">
        <f t="shared" ref="C40:H40" si="3">SUM(C8:C39)</f>
        <v>103560</v>
      </c>
      <c r="D40" s="12">
        <f t="shared" si="3"/>
        <v>680</v>
      </c>
      <c r="E40" s="12">
        <f t="shared" si="3"/>
        <v>115785</v>
      </c>
      <c r="F40" s="12">
        <f t="shared" si="3"/>
        <v>9640</v>
      </c>
      <c r="G40" s="12">
        <f t="shared" si="3"/>
        <v>229665</v>
      </c>
      <c r="H40" s="15">
        <f t="shared" si="3"/>
        <v>525.57999999999993</v>
      </c>
      <c r="I40" s="18"/>
      <c r="J40" s="18"/>
    </row>
    <row r="41" spans="1:10" x14ac:dyDescent="0.25">
      <c r="A41" s="26" t="s">
        <v>14</v>
      </c>
      <c r="B41" s="26"/>
      <c r="C41" s="13">
        <f>ROUND(C40/G40,2)</f>
        <v>0.45</v>
      </c>
      <c r="D41" s="13">
        <f>ROUND(D40/G40,2)</f>
        <v>0</v>
      </c>
      <c r="E41" s="13">
        <f>ROUND(E40/G40,2)</f>
        <v>0.5</v>
      </c>
      <c r="F41" s="13">
        <f>ROUND(F40/G40,2)</f>
        <v>0.04</v>
      </c>
      <c r="G41" s="14"/>
      <c r="H41" s="14"/>
      <c r="I41" s="18"/>
      <c r="J41" s="18"/>
    </row>
    <row r="42" spans="1:10" x14ac:dyDescent="0.25">
      <c r="A42" s="2" t="s">
        <v>53</v>
      </c>
      <c r="B42" s="2"/>
      <c r="C42" s="14"/>
      <c r="D42" s="14"/>
      <c r="E42" s="14"/>
      <c r="F42" s="14"/>
      <c r="G42" s="14"/>
      <c r="H42" s="14"/>
      <c r="I42" s="18"/>
      <c r="J42" s="18"/>
    </row>
    <row r="43" spans="1:10" x14ac:dyDescent="0.25">
      <c r="C43" s="9"/>
      <c r="D43" s="9"/>
      <c r="E43" s="9"/>
      <c r="F43" s="9"/>
      <c r="G43" s="9"/>
      <c r="H43" s="9"/>
      <c r="I43" s="10"/>
      <c r="J43" s="10"/>
    </row>
    <row r="44" spans="1:10" x14ac:dyDescent="0.25">
      <c r="C44" s="9"/>
      <c r="D44" s="9"/>
      <c r="E44" s="9"/>
      <c r="F44" s="9"/>
      <c r="G44" s="9"/>
      <c r="H44" s="9"/>
      <c r="I44" s="10"/>
      <c r="J44" s="10"/>
    </row>
    <row r="45" spans="1:10" x14ac:dyDescent="0.25">
      <c r="C45" s="9"/>
      <c r="D45" s="9"/>
      <c r="E45" s="9"/>
      <c r="F45" s="9"/>
      <c r="G45" s="9"/>
      <c r="H45" s="9"/>
      <c r="I45" s="10"/>
      <c r="J45" s="10"/>
    </row>
    <row r="46" spans="1:10" x14ac:dyDescent="0.25">
      <c r="A46" s="26" t="s">
        <v>54</v>
      </c>
      <c r="B46" s="26"/>
      <c r="C46" s="12" t="s">
        <v>8</v>
      </c>
      <c r="D46" s="12" t="s">
        <v>9</v>
      </c>
      <c r="E46" s="12" t="s">
        <v>10</v>
      </c>
      <c r="F46" s="12" t="s">
        <v>11</v>
      </c>
      <c r="G46" s="12" t="s">
        <v>12</v>
      </c>
      <c r="H46" s="15" t="s">
        <v>13</v>
      </c>
      <c r="I46" s="18"/>
      <c r="J46" s="18"/>
    </row>
    <row r="47" spans="1:10" x14ac:dyDescent="0.25">
      <c r="A47" s="21" t="s">
        <v>55</v>
      </c>
      <c r="B47" s="21"/>
      <c r="C47" s="11">
        <v>59030</v>
      </c>
      <c r="D47" s="11">
        <v>680</v>
      </c>
      <c r="E47" s="11">
        <v>98325</v>
      </c>
      <c r="F47" s="11">
        <v>4620</v>
      </c>
      <c r="G47" s="11">
        <f>SUM(C47:F47)</f>
        <v>162655</v>
      </c>
      <c r="H47" s="17">
        <f>ROUND(G47/437,2)</f>
        <v>372.21</v>
      </c>
      <c r="I47" s="10"/>
      <c r="J47" s="10"/>
    </row>
    <row r="48" spans="1:10" x14ac:dyDescent="0.25">
      <c r="A48" s="21" t="s">
        <v>56</v>
      </c>
      <c r="B48" s="21"/>
      <c r="C48" s="11">
        <v>44530</v>
      </c>
      <c r="D48" s="11">
        <v>0</v>
      </c>
      <c r="E48" s="11">
        <v>17460</v>
      </c>
      <c r="F48" s="11">
        <v>5020</v>
      </c>
      <c r="G48" s="11">
        <f>SUM(C48:F48)</f>
        <v>67010</v>
      </c>
      <c r="H48" s="17">
        <f>ROUND(G48/437,2)</f>
        <v>153.34</v>
      </c>
      <c r="I48" s="10"/>
      <c r="J48" s="10"/>
    </row>
    <row r="49" spans="1:10" x14ac:dyDescent="0.25">
      <c r="A49" s="21" t="s">
        <v>57</v>
      </c>
      <c r="B49" s="21"/>
      <c r="C49" s="11">
        <v>0</v>
      </c>
      <c r="D49" s="11">
        <v>0</v>
      </c>
      <c r="E49" s="11">
        <v>0</v>
      </c>
      <c r="F49" s="11">
        <v>0</v>
      </c>
      <c r="G49" s="11">
        <f>SUM(C49:F49)</f>
        <v>0</v>
      </c>
      <c r="H49" s="17">
        <f>ROUND(G49/437,2)</f>
        <v>0</v>
      </c>
      <c r="I49" s="10"/>
      <c r="J49" s="10"/>
    </row>
    <row r="50" spans="1:10" x14ac:dyDescent="0.25">
      <c r="C50" s="9"/>
      <c r="D50" s="9"/>
      <c r="E50" s="9"/>
      <c r="F50" s="9"/>
      <c r="G50" s="9"/>
      <c r="H50" s="9"/>
      <c r="I50" s="10"/>
      <c r="J50" s="10"/>
    </row>
    <row r="51" spans="1:10" x14ac:dyDescent="0.25">
      <c r="C51" s="9"/>
      <c r="D51" s="9"/>
      <c r="E51" s="9"/>
      <c r="F51" s="9"/>
      <c r="G51" s="9"/>
      <c r="H51" s="9"/>
      <c r="I51" s="10"/>
      <c r="J51" s="10"/>
    </row>
    <row r="52" spans="1:10" x14ac:dyDescent="0.25">
      <c r="C52" s="9"/>
      <c r="D52" s="9"/>
      <c r="E52" s="9"/>
      <c r="F52" s="9"/>
      <c r="G52" s="9"/>
      <c r="H52" s="9"/>
      <c r="I52" s="10"/>
      <c r="J52" s="10"/>
    </row>
    <row r="53" spans="1:10" x14ac:dyDescent="0.25">
      <c r="C53" s="9"/>
      <c r="D53" s="9"/>
      <c r="E53" s="9"/>
      <c r="F53" s="9"/>
      <c r="G53" s="9"/>
      <c r="H53" s="9"/>
      <c r="I53" s="10"/>
      <c r="J53" s="10"/>
    </row>
    <row r="54" spans="1:10" x14ac:dyDescent="0.25">
      <c r="A54" s="26" t="s">
        <v>58</v>
      </c>
      <c r="B54" s="26"/>
      <c r="C54" s="15" t="s">
        <v>2</v>
      </c>
      <c r="D54" s="15">
        <v>2024</v>
      </c>
      <c r="E54" s="15" t="s">
        <v>60</v>
      </c>
      <c r="F54" s="14"/>
      <c r="G54" s="15" t="s">
        <v>61</v>
      </c>
      <c r="H54" s="15" t="s">
        <v>2</v>
      </c>
      <c r="I54" s="13" t="s">
        <v>62</v>
      </c>
      <c r="J54" s="13" t="s">
        <v>60</v>
      </c>
    </row>
    <row r="55" spans="1:10" x14ac:dyDescent="0.25">
      <c r="A55" s="21" t="s">
        <v>59</v>
      </c>
      <c r="B55" s="21"/>
      <c r="C55" s="16">
        <f>ROUND(0.7449, 4)</f>
        <v>0.74490000000000001</v>
      </c>
      <c r="D55" s="16">
        <f>ROUND(0.7347, 4)</f>
        <v>0.73470000000000002</v>
      </c>
      <c r="E55" s="16">
        <f>ROUND(0.7856, 4)</f>
        <v>0.78559999999999997</v>
      </c>
      <c r="F55" s="9"/>
      <c r="G55" s="15" t="s">
        <v>63</v>
      </c>
      <c r="H55" s="27" t="s">
        <v>64</v>
      </c>
      <c r="I55" s="24" t="s">
        <v>65</v>
      </c>
      <c r="J55" s="24" t="s">
        <v>66</v>
      </c>
    </row>
    <row r="56" spans="1:10" x14ac:dyDescent="0.25">
      <c r="A56" s="21" t="s">
        <v>67</v>
      </c>
      <c r="B56" s="21"/>
      <c r="C56" s="16">
        <f>ROUND(0.7449, 4)</f>
        <v>0.74490000000000001</v>
      </c>
      <c r="D56" s="16">
        <f>ROUND(0.7018, 4)</f>
        <v>0.70179999999999998</v>
      </c>
      <c r="E56" s="16">
        <f>ROUND(0.7702, 4)</f>
        <v>0.7702</v>
      </c>
      <c r="F56" s="9"/>
      <c r="G56" s="15" t="s">
        <v>68</v>
      </c>
      <c r="H56" s="28"/>
      <c r="I56" s="25"/>
      <c r="J56" s="25"/>
    </row>
    <row r="57" spans="1:10" x14ac:dyDescent="0.25">
      <c r="C57" s="9"/>
      <c r="D57" s="9"/>
      <c r="E57" s="9"/>
      <c r="F57" s="9"/>
      <c r="G57" s="9"/>
      <c r="H57" s="9"/>
      <c r="I57" s="10"/>
      <c r="J57" s="10"/>
    </row>
    <row r="58" spans="1:10" x14ac:dyDescent="0.25">
      <c r="C58" s="9"/>
      <c r="D58" s="9"/>
      <c r="E58" s="9"/>
      <c r="F58" s="9"/>
      <c r="G58" s="9"/>
      <c r="H58" s="9"/>
      <c r="I58" s="10"/>
      <c r="J58" s="10"/>
    </row>
    <row r="59" spans="1:10" x14ac:dyDescent="0.25">
      <c r="C59" s="9"/>
      <c r="D59" s="9"/>
      <c r="E59" s="9"/>
      <c r="F59" s="9"/>
      <c r="G59" s="9"/>
      <c r="H59" s="9"/>
      <c r="I59" s="10"/>
      <c r="J59" s="10"/>
    </row>
    <row r="60" spans="1:10" x14ac:dyDescent="0.25">
      <c r="A60" s="26" t="s">
        <v>69</v>
      </c>
      <c r="B60" s="26"/>
      <c r="C60" s="15" t="s">
        <v>2</v>
      </c>
      <c r="D60" s="15" t="s">
        <v>276</v>
      </c>
      <c r="E60" s="15" t="s">
        <v>71</v>
      </c>
      <c r="F60" s="15" t="s">
        <v>72</v>
      </c>
      <c r="G60" s="15" t="s">
        <v>73</v>
      </c>
      <c r="H60" s="14"/>
      <c r="I60" s="18"/>
      <c r="J60" s="18"/>
    </row>
    <row r="61" spans="1:10" x14ac:dyDescent="0.25">
      <c r="A61" s="21" t="s">
        <v>74</v>
      </c>
      <c r="B61" s="21"/>
      <c r="C61" s="17">
        <v>102.13</v>
      </c>
      <c r="D61" s="17">
        <v>80.099999999999994</v>
      </c>
      <c r="E61" s="17">
        <v>96.15</v>
      </c>
      <c r="F61" s="17">
        <v>57.94</v>
      </c>
      <c r="G61" s="17">
        <f>12/12*C61</f>
        <v>102.13</v>
      </c>
      <c r="H61" s="9"/>
      <c r="I61" s="10"/>
      <c r="J61" s="10"/>
    </row>
    <row r="62" spans="1:10" x14ac:dyDescent="0.25">
      <c r="A62" s="21" t="s">
        <v>75</v>
      </c>
      <c r="B62" s="21"/>
      <c r="C62" s="17">
        <v>33.96</v>
      </c>
      <c r="D62" s="17">
        <v>38.08</v>
      </c>
      <c r="E62" s="17">
        <v>62.28</v>
      </c>
      <c r="F62" s="17">
        <v>66.599999999999994</v>
      </c>
      <c r="G62" s="17">
        <f>12/12*C62</f>
        <v>33.96</v>
      </c>
      <c r="H62" s="9"/>
      <c r="I62" s="10"/>
      <c r="J62" s="10"/>
    </row>
    <row r="63" spans="1:10" x14ac:dyDescent="0.25">
      <c r="A63" s="21" t="s">
        <v>76</v>
      </c>
      <c r="B63" s="21"/>
      <c r="C63" s="17">
        <v>372.21</v>
      </c>
      <c r="D63" s="17">
        <v>281.88</v>
      </c>
      <c r="E63" s="17">
        <v>300.02</v>
      </c>
      <c r="F63" s="17">
        <v>295.08</v>
      </c>
      <c r="G63" s="17">
        <f>12/12*C63</f>
        <v>372.21</v>
      </c>
      <c r="H63" s="9"/>
      <c r="I63" s="10"/>
      <c r="J63" s="10"/>
    </row>
    <row r="64" spans="1:10" x14ac:dyDescent="0.25">
      <c r="A64" s="21" t="s">
        <v>77</v>
      </c>
      <c r="B64" s="21"/>
      <c r="C64" s="17">
        <v>153.34</v>
      </c>
      <c r="D64" s="17">
        <v>136.91</v>
      </c>
      <c r="E64" s="17">
        <v>120.96</v>
      </c>
      <c r="F64" s="17">
        <v>83.12</v>
      </c>
      <c r="G64" s="17">
        <f>12/12*C64</f>
        <v>153.34</v>
      </c>
      <c r="H64" s="9"/>
      <c r="I64" s="10"/>
      <c r="J64" s="10"/>
    </row>
    <row r="65" spans="1:10" x14ac:dyDescent="0.25">
      <c r="C65" s="9"/>
      <c r="D65" s="9"/>
      <c r="E65" s="9"/>
      <c r="F65" s="9"/>
      <c r="G65" s="9"/>
      <c r="H65" s="9"/>
      <c r="I65" s="10"/>
      <c r="J65" s="10"/>
    </row>
    <row r="66" spans="1:10" x14ac:dyDescent="0.25">
      <c r="C66" s="9"/>
      <c r="D66" s="9"/>
      <c r="E66" s="9"/>
      <c r="F66" s="9"/>
      <c r="G66" s="9"/>
      <c r="H66" s="9"/>
      <c r="I66" s="10"/>
      <c r="J66" s="10"/>
    </row>
    <row r="67" spans="1:10" x14ac:dyDescent="0.25">
      <c r="A67" s="22" t="s">
        <v>61</v>
      </c>
      <c r="B67" s="23"/>
      <c r="C67" s="9"/>
      <c r="D67" s="9"/>
      <c r="E67" s="9"/>
      <c r="F67" s="9"/>
      <c r="G67" s="9"/>
      <c r="H67" s="9"/>
      <c r="I67" s="10"/>
      <c r="J67" s="10"/>
    </row>
    <row r="68" spans="1:10" x14ac:dyDescent="0.25">
      <c r="A68" s="3" t="s">
        <v>78</v>
      </c>
      <c r="B68" s="1" t="s">
        <v>277</v>
      </c>
      <c r="C68" s="9"/>
      <c r="D68" s="9"/>
      <c r="E68" s="9"/>
      <c r="F68" s="9"/>
      <c r="G68" s="9"/>
      <c r="H68" s="9"/>
      <c r="I68" s="10"/>
      <c r="J68" s="10"/>
    </row>
    <row r="69" spans="1:10" x14ac:dyDescent="0.25">
      <c r="A69" s="3" t="s">
        <v>71</v>
      </c>
      <c r="B69" s="1" t="s">
        <v>80</v>
      </c>
      <c r="C69" s="9"/>
      <c r="D69" s="9"/>
      <c r="E69" s="9"/>
      <c r="F69" s="9"/>
      <c r="G69" s="9"/>
      <c r="H69" s="9"/>
      <c r="I69" s="10"/>
      <c r="J69" s="10"/>
    </row>
    <row r="70" spans="1:10" x14ac:dyDescent="0.25">
      <c r="A70" s="3" t="s">
        <v>72</v>
      </c>
      <c r="B70" s="1" t="s">
        <v>81</v>
      </c>
      <c r="C70" s="9"/>
      <c r="D70" s="9"/>
      <c r="E70" s="9"/>
      <c r="F70" s="9"/>
      <c r="G70" s="9"/>
      <c r="H70" s="9"/>
      <c r="I70" s="10"/>
      <c r="J70" s="10"/>
    </row>
    <row r="71" spans="1:10" x14ac:dyDescent="0.25">
      <c r="A71" s="3" t="s">
        <v>73</v>
      </c>
      <c r="B71" s="1" t="s">
        <v>82</v>
      </c>
      <c r="C71" s="9"/>
      <c r="D71" s="9"/>
      <c r="E71" s="9"/>
      <c r="F71" s="9"/>
      <c r="G71" s="9"/>
      <c r="H71" s="9"/>
      <c r="I71" s="10"/>
      <c r="J71" s="10"/>
    </row>
    <row r="72" spans="1:10" x14ac:dyDescent="0.25">
      <c r="C72" s="9"/>
      <c r="D72" s="9"/>
      <c r="E72" s="9"/>
      <c r="F72" s="9"/>
      <c r="G72" s="9"/>
      <c r="H72" s="9"/>
      <c r="I72" s="10"/>
      <c r="J72" s="10"/>
    </row>
    <row r="73" spans="1:10" x14ac:dyDescent="0.25">
      <c r="C73" s="9"/>
      <c r="D73" s="9"/>
      <c r="E73" s="9"/>
      <c r="F73" s="9"/>
      <c r="G73" s="9"/>
      <c r="H73" s="9"/>
      <c r="I73" s="10"/>
      <c r="J73" s="10"/>
    </row>
    <row r="74" spans="1:10" x14ac:dyDescent="0.25">
      <c r="C74" s="9"/>
      <c r="D74" s="9"/>
      <c r="E74" s="9"/>
      <c r="F74" s="9"/>
      <c r="G74" s="9"/>
      <c r="H74" s="9"/>
      <c r="I74" s="10"/>
      <c r="J74" s="10"/>
    </row>
    <row r="75" spans="1:10" x14ac:dyDescent="0.25">
      <c r="C75" s="9"/>
      <c r="D75" s="9"/>
      <c r="E75" s="9"/>
      <c r="F75" s="9"/>
      <c r="G75" s="9"/>
      <c r="H75" s="9"/>
      <c r="I75" s="10"/>
      <c r="J75" s="10"/>
    </row>
  </sheetData>
  <mergeCells count="19">
    <mergeCell ref="C7:G7"/>
    <mergeCell ref="A40:B40"/>
    <mergeCell ref="A41:B41"/>
    <mergeCell ref="A46:B46"/>
    <mergeCell ref="A47:B47"/>
    <mergeCell ref="J55:J56"/>
    <mergeCell ref="A56:B56"/>
    <mergeCell ref="A60:B60"/>
    <mergeCell ref="A61:B61"/>
    <mergeCell ref="A48:B48"/>
    <mergeCell ref="A49:B49"/>
    <mergeCell ref="A54:B54"/>
    <mergeCell ref="A55:B55"/>
    <mergeCell ref="H55:H56"/>
    <mergeCell ref="A62:B62"/>
    <mergeCell ref="A63:B63"/>
    <mergeCell ref="A64:B64"/>
    <mergeCell ref="A67:B67"/>
    <mergeCell ref="I55:I56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J75"/>
  <sheetViews>
    <sheetView workbookViewId="0">
      <selection activeCell="H5" sqref="H5"/>
    </sheetView>
  </sheetViews>
  <sheetFormatPr defaultRowHeight="15" x14ac:dyDescent="0.25"/>
  <cols>
    <col min="1" max="1" width="28.42578125" bestFit="1" customWidth="1"/>
    <col min="2" max="2" width="59.5703125" bestFit="1" customWidth="1"/>
    <col min="3" max="3" width="12.7109375" bestFit="1" customWidth="1"/>
    <col min="4" max="4" width="31.28515625" bestFit="1" customWidth="1"/>
    <col min="5" max="5" width="13.85546875" bestFit="1" customWidth="1"/>
    <col min="6" max="6" width="8.5703125" bestFit="1" customWidth="1"/>
    <col min="7" max="7" width="47.7109375" bestFit="1" customWidth="1"/>
    <col min="8" max="9" width="16.7109375" bestFit="1" customWidth="1"/>
    <col min="10" max="10" width="24.42578125" bestFit="1" customWidth="1"/>
  </cols>
  <sheetData>
    <row r="2" spans="1:10" ht="18.75" x14ac:dyDescent="0.3">
      <c r="A2" s="3" t="s">
        <v>0</v>
      </c>
      <c r="B2" s="4" t="s">
        <v>278</v>
      </c>
    </row>
    <row r="3" spans="1:10" x14ac:dyDescent="0.25">
      <c r="A3" s="3" t="s">
        <v>2</v>
      </c>
      <c r="B3" s="1" t="s">
        <v>3</v>
      </c>
    </row>
    <row r="4" spans="1:10" x14ac:dyDescent="0.25">
      <c r="A4" s="3" t="s">
        <v>4</v>
      </c>
      <c r="B4" s="20">
        <v>4638</v>
      </c>
    </row>
    <row r="7" spans="1:10" x14ac:dyDescent="0.25">
      <c r="C7" s="22" t="s">
        <v>5</v>
      </c>
      <c r="D7" s="21"/>
      <c r="E7" s="21"/>
      <c r="F7" s="21"/>
      <c r="G7" s="21"/>
    </row>
    <row r="8" spans="1:10" x14ac:dyDescent="0.25">
      <c r="A8" s="3" t="s">
        <v>6</v>
      </c>
      <c r="B8" s="3" t="s">
        <v>7</v>
      </c>
      <c r="C8" s="15" t="s">
        <v>8</v>
      </c>
      <c r="D8" s="15" t="s">
        <v>9</v>
      </c>
      <c r="E8" s="15" t="s">
        <v>10</v>
      </c>
      <c r="F8" s="15" t="s">
        <v>11</v>
      </c>
      <c r="G8" s="15" t="s">
        <v>12</v>
      </c>
      <c r="H8" s="15" t="s">
        <v>13</v>
      </c>
      <c r="I8" s="15" t="s">
        <v>14</v>
      </c>
      <c r="J8" s="15" t="s">
        <v>15</v>
      </c>
    </row>
    <row r="9" spans="1:10" x14ac:dyDescent="0.25">
      <c r="A9" s="1" t="s">
        <v>16</v>
      </c>
      <c r="B9" s="1" t="s">
        <v>17</v>
      </c>
      <c r="C9" s="11"/>
      <c r="D9" s="11"/>
      <c r="E9" s="11">
        <v>108</v>
      </c>
      <c r="F9" s="11"/>
      <c r="G9" s="11">
        <f t="shared" ref="G9:G43" si="0">SUM(C9:F9)</f>
        <v>108</v>
      </c>
      <c r="H9" s="17">
        <f t="shared" ref="H9:H43" si="1">ROUND(G9/4638,2)</f>
        <v>0.02</v>
      </c>
      <c r="I9" s="16">
        <f t="shared" ref="I9:I43" si="2">ROUND(G9/$G$44,3)</f>
        <v>0</v>
      </c>
      <c r="J9" s="16">
        <f>ROUND(G9/136-1,2)</f>
        <v>-0.21</v>
      </c>
    </row>
    <row r="10" spans="1:10" x14ac:dyDescent="0.25">
      <c r="A10" s="1" t="s">
        <v>16</v>
      </c>
      <c r="B10" s="1" t="s">
        <v>19</v>
      </c>
      <c r="C10" s="11">
        <v>169200</v>
      </c>
      <c r="D10" s="11"/>
      <c r="E10" s="11">
        <v>3870</v>
      </c>
      <c r="F10" s="11"/>
      <c r="G10" s="11">
        <f t="shared" si="0"/>
        <v>173070</v>
      </c>
      <c r="H10" s="17">
        <f t="shared" si="1"/>
        <v>37.32</v>
      </c>
      <c r="I10" s="16">
        <f t="shared" si="2"/>
        <v>9.0999999999999998E-2</v>
      </c>
      <c r="J10" s="16">
        <f>ROUND(G10/170145-1,2)</f>
        <v>0.02</v>
      </c>
    </row>
    <row r="11" spans="1:10" x14ac:dyDescent="0.25">
      <c r="A11" s="1" t="s">
        <v>16</v>
      </c>
      <c r="B11" s="1" t="s">
        <v>20</v>
      </c>
      <c r="C11" s="11">
        <v>193900</v>
      </c>
      <c r="D11" s="11"/>
      <c r="E11" s="11"/>
      <c r="F11" s="11"/>
      <c r="G11" s="11">
        <f t="shared" si="0"/>
        <v>193900</v>
      </c>
      <c r="H11" s="17">
        <f t="shared" si="1"/>
        <v>41.81</v>
      </c>
      <c r="I11" s="16">
        <f t="shared" si="2"/>
        <v>0.10199999999999999</v>
      </c>
      <c r="J11" s="16">
        <f>ROUND(G11/190580-1,2)</f>
        <v>0.02</v>
      </c>
    </row>
    <row r="12" spans="1:10" x14ac:dyDescent="0.25">
      <c r="A12" s="1" t="s">
        <v>16</v>
      </c>
      <c r="B12" s="1" t="s">
        <v>87</v>
      </c>
      <c r="C12" s="11"/>
      <c r="D12" s="11"/>
      <c r="E12" s="11">
        <v>372</v>
      </c>
      <c r="F12" s="11"/>
      <c r="G12" s="11">
        <f t="shared" si="0"/>
        <v>372</v>
      </c>
      <c r="H12" s="17">
        <f t="shared" si="1"/>
        <v>0.08</v>
      </c>
      <c r="I12" s="16">
        <f t="shared" si="2"/>
        <v>0</v>
      </c>
      <c r="J12" s="16">
        <f>ROUND(G12/80-1,2)</f>
        <v>3.65</v>
      </c>
    </row>
    <row r="13" spans="1:10" x14ac:dyDescent="0.25">
      <c r="A13" s="1" t="s">
        <v>16</v>
      </c>
      <c r="B13" s="1" t="s">
        <v>21</v>
      </c>
      <c r="C13" s="11"/>
      <c r="D13" s="11"/>
      <c r="E13" s="11">
        <v>263</v>
      </c>
      <c r="F13" s="11"/>
      <c r="G13" s="11">
        <f t="shared" si="0"/>
        <v>263</v>
      </c>
      <c r="H13" s="17">
        <f t="shared" si="1"/>
        <v>0.06</v>
      </c>
      <c r="I13" s="16">
        <f t="shared" si="2"/>
        <v>0</v>
      </c>
      <c r="J13" s="16">
        <f>ROUND(G13/343-1,2)</f>
        <v>-0.23</v>
      </c>
    </row>
    <row r="14" spans="1:10" x14ac:dyDescent="0.25">
      <c r="A14" s="1" t="s">
        <v>16</v>
      </c>
      <c r="B14" s="1" t="s">
        <v>22</v>
      </c>
      <c r="C14" s="11"/>
      <c r="D14" s="11"/>
      <c r="E14" s="11">
        <v>2200</v>
      </c>
      <c r="F14" s="11"/>
      <c r="G14" s="11">
        <f t="shared" si="0"/>
        <v>2200</v>
      </c>
      <c r="H14" s="17">
        <f t="shared" si="1"/>
        <v>0.47</v>
      </c>
      <c r="I14" s="16">
        <f t="shared" si="2"/>
        <v>1E-3</v>
      </c>
      <c r="J14" s="16">
        <f>ROUND(G14/2900-1,2)</f>
        <v>-0.24</v>
      </c>
    </row>
    <row r="15" spans="1:10" x14ac:dyDescent="0.25">
      <c r="A15" s="1" t="s">
        <v>16</v>
      </c>
      <c r="B15" s="1" t="s">
        <v>23</v>
      </c>
      <c r="C15" s="11"/>
      <c r="D15" s="11"/>
      <c r="E15" s="11">
        <v>65070</v>
      </c>
      <c r="F15" s="11"/>
      <c r="G15" s="11">
        <f t="shared" si="0"/>
        <v>65070</v>
      </c>
      <c r="H15" s="17">
        <f t="shared" si="1"/>
        <v>14.03</v>
      </c>
      <c r="I15" s="16">
        <f t="shared" si="2"/>
        <v>3.4000000000000002E-2</v>
      </c>
      <c r="J15" s="16">
        <f>ROUND(G15/46320-1,2)</f>
        <v>0.4</v>
      </c>
    </row>
    <row r="16" spans="1:10" x14ac:dyDescent="0.25">
      <c r="A16" s="1" t="s">
        <v>16</v>
      </c>
      <c r="B16" s="1" t="s">
        <v>243</v>
      </c>
      <c r="C16" s="11"/>
      <c r="D16" s="11"/>
      <c r="E16" s="11"/>
      <c r="F16" s="11">
        <v>2</v>
      </c>
      <c r="G16" s="11">
        <f t="shared" si="0"/>
        <v>2</v>
      </c>
      <c r="H16" s="17">
        <f t="shared" si="1"/>
        <v>0</v>
      </c>
      <c r="I16" s="16">
        <f t="shared" si="2"/>
        <v>0</v>
      </c>
      <c r="J16" s="16"/>
    </row>
    <row r="17" spans="1:10" x14ac:dyDescent="0.25">
      <c r="A17" s="1" t="s">
        <v>16</v>
      </c>
      <c r="B17" s="1" t="s">
        <v>24</v>
      </c>
      <c r="C17" s="11">
        <v>240170</v>
      </c>
      <c r="D17" s="11"/>
      <c r="E17" s="11">
        <v>24690</v>
      </c>
      <c r="F17" s="11"/>
      <c r="G17" s="11">
        <f t="shared" si="0"/>
        <v>264860</v>
      </c>
      <c r="H17" s="17">
        <f t="shared" si="1"/>
        <v>57.11</v>
      </c>
      <c r="I17" s="16">
        <f t="shared" si="2"/>
        <v>0.13900000000000001</v>
      </c>
      <c r="J17" s="16">
        <f>ROUND(G17/240150-1,2)</f>
        <v>0.1</v>
      </c>
    </row>
    <row r="18" spans="1:10" x14ac:dyDescent="0.25">
      <c r="A18" s="1" t="s">
        <v>16</v>
      </c>
      <c r="B18" s="1" t="s">
        <v>25</v>
      </c>
      <c r="C18" s="11"/>
      <c r="D18" s="11"/>
      <c r="E18" s="11">
        <v>9750</v>
      </c>
      <c r="F18" s="11"/>
      <c r="G18" s="11">
        <f t="shared" si="0"/>
        <v>9750</v>
      </c>
      <c r="H18" s="17">
        <f t="shared" si="1"/>
        <v>2.1</v>
      </c>
      <c r="I18" s="16">
        <f t="shared" si="2"/>
        <v>5.0000000000000001E-3</v>
      </c>
      <c r="J18" s="16">
        <f>ROUND(G18/8400-1,2)</f>
        <v>0.16</v>
      </c>
    </row>
    <row r="19" spans="1:10" x14ac:dyDescent="0.25">
      <c r="A19" s="1" t="s">
        <v>16</v>
      </c>
      <c r="B19" s="1" t="s">
        <v>26</v>
      </c>
      <c r="C19" s="11">
        <v>368460</v>
      </c>
      <c r="D19" s="11"/>
      <c r="E19" s="11"/>
      <c r="F19" s="11">
        <v>1180</v>
      </c>
      <c r="G19" s="11">
        <f t="shared" si="0"/>
        <v>369640</v>
      </c>
      <c r="H19" s="17">
        <f t="shared" si="1"/>
        <v>79.7</v>
      </c>
      <c r="I19" s="16">
        <f t="shared" si="2"/>
        <v>0.19400000000000001</v>
      </c>
      <c r="J19" s="16">
        <f>ROUND(G19/334710-1,2)</f>
        <v>0.1</v>
      </c>
    </row>
    <row r="20" spans="1:10" x14ac:dyDescent="0.25">
      <c r="A20" s="1" t="s">
        <v>16</v>
      </c>
      <c r="B20" s="1" t="s">
        <v>27</v>
      </c>
      <c r="C20" s="11"/>
      <c r="D20" s="11"/>
      <c r="E20" s="11">
        <v>1262</v>
      </c>
      <c r="F20" s="11"/>
      <c r="G20" s="11">
        <f t="shared" si="0"/>
        <v>1262</v>
      </c>
      <c r="H20" s="17">
        <f t="shared" si="1"/>
        <v>0.27</v>
      </c>
      <c r="I20" s="16">
        <f t="shared" si="2"/>
        <v>1E-3</v>
      </c>
      <c r="J20" s="16">
        <f>ROUND(G20/1438-1,2)</f>
        <v>-0.12</v>
      </c>
    </row>
    <row r="21" spans="1:10" x14ac:dyDescent="0.25">
      <c r="A21" s="1" t="s">
        <v>16</v>
      </c>
      <c r="B21" s="1" t="s">
        <v>28</v>
      </c>
      <c r="C21" s="11"/>
      <c r="D21" s="11"/>
      <c r="E21" s="11">
        <v>788</v>
      </c>
      <c r="F21" s="11"/>
      <c r="G21" s="11">
        <f t="shared" si="0"/>
        <v>788</v>
      </c>
      <c r="H21" s="17">
        <f t="shared" si="1"/>
        <v>0.17</v>
      </c>
      <c r="I21" s="16">
        <f t="shared" si="2"/>
        <v>0</v>
      </c>
      <c r="J21" s="16">
        <f>ROUND(G21/1048-1,2)</f>
        <v>-0.25</v>
      </c>
    </row>
    <row r="22" spans="1:10" x14ac:dyDescent="0.25">
      <c r="A22" s="1" t="s">
        <v>16</v>
      </c>
      <c r="B22" s="1" t="s">
        <v>29</v>
      </c>
      <c r="C22" s="11"/>
      <c r="D22" s="11"/>
      <c r="E22" s="11">
        <v>329</v>
      </c>
      <c r="F22" s="11"/>
      <c r="G22" s="11">
        <f t="shared" si="0"/>
        <v>329</v>
      </c>
      <c r="H22" s="17">
        <f t="shared" si="1"/>
        <v>7.0000000000000007E-2</v>
      </c>
      <c r="I22" s="16">
        <f t="shared" si="2"/>
        <v>0</v>
      </c>
      <c r="J22" s="16"/>
    </row>
    <row r="23" spans="1:10" x14ac:dyDescent="0.25">
      <c r="A23" s="1" t="s">
        <v>16</v>
      </c>
      <c r="B23" s="1" t="s">
        <v>30</v>
      </c>
      <c r="C23" s="11"/>
      <c r="D23" s="11"/>
      <c r="E23" s="11">
        <v>4970</v>
      </c>
      <c r="F23" s="11"/>
      <c r="G23" s="11">
        <f t="shared" si="0"/>
        <v>4970</v>
      </c>
      <c r="H23" s="17">
        <f t="shared" si="1"/>
        <v>1.07</v>
      </c>
      <c r="I23" s="16">
        <f t="shared" si="2"/>
        <v>3.0000000000000001E-3</v>
      </c>
      <c r="J23" s="16">
        <f>ROUND(G23/6270-1,2)</f>
        <v>-0.21</v>
      </c>
    </row>
    <row r="24" spans="1:10" x14ac:dyDescent="0.25">
      <c r="A24" s="1" t="s">
        <v>16</v>
      </c>
      <c r="B24" s="1" t="s">
        <v>31</v>
      </c>
      <c r="C24" s="11"/>
      <c r="D24" s="11"/>
      <c r="E24" s="11">
        <v>1150</v>
      </c>
      <c r="F24" s="11"/>
      <c r="G24" s="11">
        <f t="shared" si="0"/>
        <v>1150</v>
      </c>
      <c r="H24" s="17">
        <f t="shared" si="1"/>
        <v>0.25</v>
      </c>
      <c r="I24" s="16">
        <f t="shared" si="2"/>
        <v>1E-3</v>
      </c>
      <c r="J24" s="16">
        <f>ROUND(G24/1240-1,2)</f>
        <v>-7.0000000000000007E-2</v>
      </c>
    </row>
    <row r="25" spans="1:10" x14ac:dyDescent="0.25">
      <c r="A25" s="1" t="s">
        <v>16</v>
      </c>
      <c r="B25" s="1" t="s">
        <v>32</v>
      </c>
      <c r="C25" s="11"/>
      <c r="D25" s="11"/>
      <c r="E25" s="11">
        <v>750</v>
      </c>
      <c r="F25" s="11"/>
      <c r="G25" s="11">
        <f t="shared" si="0"/>
        <v>750</v>
      </c>
      <c r="H25" s="17">
        <f t="shared" si="1"/>
        <v>0.16</v>
      </c>
      <c r="I25" s="16">
        <f t="shared" si="2"/>
        <v>0</v>
      </c>
      <c r="J25" s="16">
        <f>ROUND(G25/470-1,2)</f>
        <v>0.6</v>
      </c>
    </row>
    <row r="26" spans="1:10" x14ac:dyDescent="0.25">
      <c r="A26" s="1" t="s">
        <v>16</v>
      </c>
      <c r="B26" s="1" t="s">
        <v>33</v>
      </c>
      <c r="C26" s="11"/>
      <c r="D26" s="11"/>
      <c r="E26" s="11">
        <v>2640</v>
      </c>
      <c r="F26" s="11"/>
      <c r="G26" s="11">
        <f t="shared" si="0"/>
        <v>2640</v>
      </c>
      <c r="H26" s="17">
        <f t="shared" si="1"/>
        <v>0.56999999999999995</v>
      </c>
      <c r="I26" s="16">
        <f t="shared" si="2"/>
        <v>1E-3</v>
      </c>
      <c r="J26" s="16">
        <f>ROUND(G26/2565-1,2)</f>
        <v>0.03</v>
      </c>
    </row>
    <row r="27" spans="1:10" x14ac:dyDescent="0.25">
      <c r="A27" s="1" t="s">
        <v>16</v>
      </c>
      <c r="B27" s="1" t="s">
        <v>34</v>
      </c>
      <c r="C27" s="11"/>
      <c r="D27" s="11">
        <v>60</v>
      </c>
      <c r="E27" s="11">
        <v>473</v>
      </c>
      <c r="F27" s="11"/>
      <c r="G27" s="11">
        <f t="shared" si="0"/>
        <v>533</v>
      </c>
      <c r="H27" s="17">
        <f t="shared" si="1"/>
        <v>0.11</v>
      </c>
      <c r="I27" s="16">
        <f t="shared" si="2"/>
        <v>0</v>
      </c>
      <c r="J27" s="16">
        <f>ROUND(G27/451-1,2)</f>
        <v>0.18</v>
      </c>
    </row>
    <row r="28" spans="1:10" x14ac:dyDescent="0.25">
      <c r="A28" s="1" t="s">
        <v>16</v>
      </c>
      <c r="B28" s="1" t="s">
        <v>35</v>
      </c>
      <c r="C28" s="11"/>
      <c r="D28" s="11"/>
      <c r="E28" s="11">
        <v>2383</v>
      </c>
      <c r="F28" s="11"/>
      <c r="G28" s="11">
        <f t="shared" si="0"/>
        <v>2383</v>
      </c>
      <c r="H28" s="17">
        <f t="shared" si="1"/>
        <v>0.51</v>
      </c>
      <c r="I28" s="16">
        <f t="shared" si="2"/>
        <v>1E-3</v>
      </c>
      <c r="J28" s="16">
        <f>ROUND(G28/3250-1,2)</f>
        <v>-0.27</v>
      </c>
    </row>
    <row r="29" spans="1:10" x14ac:dyDescent="0.25">
      <c r="A29" s="1" t="s">
        <v>16</v>
      </c>
      <c r="B29" s="1" t="s">
        <v>37</v>
      </c>
      <c r="C29" s="11"/>
      <c r="D29" s="11"/>
      <c r="E29" s="11">
        <v>2190</v>
      </c>
      <c r="F29" s="11"/>
      <c r="G29" s="11">
        <f t="shared" si="0"/>
        <v>2190</v>
      </c>
      <c r="H29" s="17">
        <f t="shared" si="1"/>
        <v>0.47</v>
      </c>
      <c r="I29" s="16">
        <f t="shared" si="2"/>
        <v>1E-3</v>
      </c>
      <c r="J29" s="16">
        <f>ROUND(G29/3760-1,2)</f>
        <v>-0.42</v>
      </c>
    </row>
    <row r="30" spans="1:10" x14ac:dyDescent="0.25">
      <c r="A30" s="1" t="s">
        <v>16</v>
      </c>
      <c r="B30" s="1" t="s">
        <v>38</v>
      </c>
      <c r="C30" s="11"/>
      <c r="D30" s="11"/>
      <c r="E30" s="11">
        <v>8710</v>
      </c>
      <c r="F30" s="11"/>
      <c r="G30" s="11">
        <f t="shared" si="0"/>
        <v>8710</v>
      </c>
      <c r="H30" s="17">
        <f t="shared" si="1"/>
        <v>1.88</v>
      </c>
      <c r="I30" s="16">
        <f t="shared" si="2"/>
        <v>5.0000000000000001E-3</v>
      </c>
      <c r="J30" s="16">
        <f>ROUND(G30/7340-1,2)</f>
        <v>0.19</v>
      </c>
    </row>
    <row r="31" spans="1:10" x14ac:dyDescent="0.25">
      <c r="A31" s="1" t="s">
        <v>16</v>
      </c>
      <c r="B31" s="1" t="s">
        <v>39</v>
      </c>
      <c r="C31" s="11"/>
      <c r="D31" s="11"/>
      <c r="E31" s="11">
        <v>12670</v>
      </c>
      <c r="F31" s="11"/>
      <c r="G31" s="11">
        <f t="shared" si="0"/>
        <v>12670</v>
      </c>
      <c r="H31" s="17">
        <f t="shared" si="1"/>
        <v>2.73</v>
      </c>
      <c r="I31" s="16">
        <f t="shared" si="2"/>
        <v>7.0000000000000001E-3</v>
      </c>
      <c r="J31" s="16">
        <f>ROUND(G31/11435-1,2)</f>
        <v>0.11</v>
      </c>
    </row>
    <row r="32" spans="1:10" x14ac:dyDescent="0.25">
      <c r="A32" s="1" t="s">
        <v>16</v>
      </c>
      <c r="B32" s="1" t="s">
        <v>40</v>
      </c>
      <c r="C32" s="11"/>
      <c r="D32" s="11"/>
      <c r="E32" s="11">
        <v>121015</v>
      </c>
      <c r="F32" s="11"/>
      <c r="G32" s="11">
        <f t="shared" si="0"/>
        <v>121015</v>
      </c>
      <c r="H32" s="17">
        <f t="shared" si="1"/>
        <v>26.09</v>
      </c>
      <c r="I32" s="16">
        <f t="shared" si="2"/>
        <v>6.4000000000000001E-2</v>
      </c>
      <c r="J32" s="16">
        <f>ROUND(G32/100900-1,2)</f>
        <v>0.2</v>
      </c>
    </row>
    <row r="33" spans="1:10" x14ac:dyDescent="0.25">
      <c r="A33" s="1" t="s">
        <v>16</v>
      </c>
      <c r="B33" s="1" t="s">
        <v>41</v>
      </c>
      <c r="C33" s="11"/>
      <c r="D33" s="11"/>
      <c r="E33" s="11">
        <v>10080</v>
      </c>
      <c r="F33" s="11"/>
      <c r="G33" s="11">
        <f t="shared" si="0"/>
        <v>10080</v>
      </c>
      <c r="H33" s="17">
        <f t="shared" si="1"/>
        <v>2.17</v>
      </c>
      <c r="I33" s="16">
        <f t="shared" si="2"/>
        <v>5.0000000000000001E-3</v>
      </c>
      <c r="J33" s="16">
        <f>ROUND(G33/6400-1,2)</f>
        <v>0.57999999999999996</v>
      </c>
    </row>
    <row r="34" spans="1:10" x14ac:dyDescent="0.25">
      <c r="A34" s="1" t="s">
        <v>16</v>
      </c>
      <c r="B34" s="1" t="s">
        <v>42</v>
      </c>
      <c r="C34" s="11"/>
      <c r="D34" s="11"/>
      <c r="E34" s="11">
        <v>29680</v>
      </c>
      <c r="F34" s="11"/>
      <c r="G34" s="11">
        <f t="shared" si="0"/>
        <v>29680</v>
      </c>
      <c r="H34" s="17">
        <f t="shared" si="1"/>
        <v>6.4</v>
      </c>
      <c r="I34" s="16">
        <f t="shared" si="2"/>
        <v>1.6E-2</v>
      </c>
      <c r="J34" s="16">
        <f>ROUND(G34/23450-1,2)</f>
        <v>0.27</v>
      </c>
    </row>
    <row r="35" spans="1:10" x14ac:dyDescent="0.25">
      <c r="A35" s="1" t="s">
        <v>16</v>
      </c>
      <c r="B35" s="1" t="s">
        <v>44</v>
      </c>
      <c r="C35" s="11"/>
      <c r="D35" s="11"/>
      <c r="E35" s="11">
        <v>216310</v>
      </c>
      <c r="F35" s="11">
        <v>7840</v>
      </c>
      <c r="G35" s="11">
        <f t="shared" si="0"/>
        <v>224150</v>
      </c>
      <c r="H35" s="17">
        <f t="shared" si="1"/>
        <v>48.33</v>
      </c>
      <c r="I35" s="16">
        <f t="shared" si="2"/>
        <v>0.11799999999999999</v>
      </c>
      <c r="J35" s="16">
        <f>ROUND(G35/208050-1,2)</f>
        <v>0.08</v>
      </c>
    </row>
    <row r="36" spans="1:10" x14ac:dyDescent="0.25">
      <c r="A36" s="1" t="s">
        <v>16</v>
      </c>
      <c r="B36" s="1" t="s">
        <v>36</v>
      </c>
      <c r="C36" s="11"/>
      <c r="D36" s="11"/>
      <c r="E36" s="11"/>
      <c r="F36" s="11"/>
      <c r="G36" s="11">
        <f t="shared" si="0"/>
        <v>0</v>
      </c>
      <c r="H36" s="17">
        <f t="shared" si="1"/>
        <v>0</v>
      </c>
      <c r="I36" s="16">
        <f t="shared" si="2"/>
        <v>0</v>
      </c>
      <c r="J36" s="16">
        <f>ROUND(G36/305-1,2)</f>
        <v>-1</v>
      </c>
    </row>
    <row r="37" spans="1:10" x14ac:dyDescent="0.25">
      <c r="A37" s="1" t="s">
        <v>16</v>
      </c>
      <c r="B37" s="1" t="s">
        <v>96</v>
      </c>
      <c r="C37" s="11"/>
      <c r="D37" s="11"/>
      <c r="E37" s="11"/>
      <c r="F37" s="11"/>
      <c r="G37" s="11">
        <f t="shared" si="0"/>
        <v>0</v>
      </c>
      <c r="H37" s="17">
        <f t="shared" si="1"/>
        <v>0</v>
      </c>
      <c r="I37" s="16">
        <f t="shared" si="2"/>
        <v>0</v>
      </c>
      <c r="J37" s="16"/>
    </row>
    <row r="38" spans="1:10" x14ac:dyDescent="0.25">
      <c r="A38" s="1" t="s">
        <v>45</v>
      </c>
      <c r="B38" s="1" t="s">
        <v>46</v>
      </c>
      <c r="C38" s="11">
        <v>280570</v>
      </c>
      <c r="D38" s="11"/>
      <c r="E38" s="11"/>
      <c r="F38" s="11"/>
      <c r="G38" s="11">
        <f t="shared" si="0"/>
        <v>280570</v>
      </c>
      <c r="H38" s="17">
        <f t="shared" si="1"/>
        <v>60.49</v>
      </c>
      <c r="I38" s="16">
        <f t="shared" si="2"/>
        <v>0.14799999999999999</v>
      </c>
      <c r="J38" s="16">
        <f>ROUND(G38/277210-1,2)</f>
        <v>0.01</v>
      </c>
    </row>
    <row r="39" spans="1:10" x14ac:dyDescent="0.25">
      <c r="A39" s="1" t="s">
        <v>45</v>
      </c>
      <c r="B39" s="1" t="s">
        <v>48</v>
      </c>
      <c r="C39" s="11"/>
      <c r="D39" s="11"/>
      <c r="E39" s="11"/>
      <c r="F39" s="11">
        <v>41800</v>
      </c>
      <c r="G39" s="11">
        <f t="shared" si="0"/>
        <v>41800</v>
      </c>
      <c r="H39" s="17">
        <f t="shared" si="1"/>
        <v>9.01</v>
      </c>
      <c r="I39" s="16">
        <f t="shared" si="2"/>
        <v>2.1999999999999999E-2</v>
      </c>
      <c r="J39" s="16">
        <f>ROUND(G39/55800-1,2)</f>
        <v>-0.25</v>
      </c>
    </row>
    <row r="40" spans="1:10" x14ac:dyDescent="0.25">
      <c r="A40" s="1" t="s">
        <v>45</v>
      </c>
      <c r="B40" s="1" t="s">
        <v>47</v>
      </c>
      <c r="C40" s="11"/>
      <c r="D40" s="11"/>
      <c r="E40" s="11">
        <v>76060</v>
      </c>
      <c r="F40" s="11"/>
      <c r="G40" s="11">
        <f t="shared" si="0"/>
        <v>76060</v>
      </c>
      <c r="H40" s="17">
        <f t="shared" si="1"/>
        <v>16.399999999999999</v>
      </c>
      <c r="I40" s="16">
        <f t="shared" si="2"/>
        <v>0.04</v>
      </c>
      <c r="J40" s="16">
        <f>ROUND(G40/68960-1,2)</f>
        <v>0.1</v>
      </c>
    </row>
    <row r="41" spans="1:10" x14ac:dyDescent="0.25">
      <c r="A41" s="1" t="s">
        <v>49</v>
      </c>
      <c r="B41" s="1" t="s">
        <v>50</v>
      </c>
      <c r="C41" s="11"/>
      <c r="D41" s="11"/>
      <c r="E41" s="11"/>
      <c r="F41" s="11"/>
      <c r="G41" s="11">
        <f t="shared" si="0"/>
        <v>0</v>
      </c>
      <c r="H41" s="17">
        <f t="shared" si="1"/>
        <v>0</v>
      </c>
      <c r="I41" s="16">
        <f t="shared" si="2"/>
        <v>0</v>
      </c>
      <c r="J41" s="16"/>
    </row>
    <row r="42" spans="1:10" x14ac:dyDescent="0.25">
      <c r="A42" s="1" t="s">
        <v>49</v>
      </c>
      <c r="B42" s="1" t="s">
        <v>51</v>
      </c>
      <c r="C42" s="11"/>
      <c r="D42" s="11"/>
      <c r="E42" s="11"/>
      <c r="F42" s="11"/>
      <c r="G42" s="11">
        <f t="shared" si="0"/>
        <v>0</v>
      </c>
      <c r="H42" s="17">
        <f t="shared" si="1"/>
        <v>0</v>
      </c>
      <c r="I42" s="16">
        <f t="shared" si="2"/>
        <v>0</v>
      </c>
      <c r="J42" s="16">
        <f>ROUND(G42/950-1,2)</f>
        <v>-1</v>
      </c>
    </row>
    <row r="43" spans="1:10" x14ac:dyDescent="0.25">
      <c r="A43" s="1" t="s">
        <v>49</v>
      </c>
      <c r="B43" s="1" t="s">
        <v>52</v>
      </c>
      <c r="C43" s="11"/>
      <c r="D43" s="11"/>
      <c r="E43" s="11"/>
      <c r="F43" s="11"/>
      <c r="G43" s="11">
        <f t="shared" si="0"/>
        <v>0</v>
      </c>
      <c r="H43" s="17">
        <f t="shared" si="1"/>
        <v>0</v>
      </c>
      <c r="I43" s="16">
        <f t="shared" si="2"/>
        <v>0</v>
      </c>
      <c r="J43" s="16"/>
    </row>
    <row r="44" spans="1:10" x14ac:dyDescent="0.25">
      <c r="A44" s="26" t="s">
        <v>12</v>
      </c>
      <c r="B44" s="26"/>
      <c r="C44" s="12">
        <f t="shared" ref="C44:H44" si="3">SUM(C8:C43)</f>
        <v>1252300</v>
      </c>
      <c r="D44" s="12">
        <f t="shared" si="3"/>
        <v>60</v>
      </c>
      <c r="E44" s="12">
        <f t="shared" si="3"/>
        <v>597783</v>
      </c>
      <c r="F44" s="12">
        <f t="shared" si="3"/>
        <v>50822</v>
      </c>
      <c r="G44" s="12">
        <f t="shared" si="3"/>
        <v>1900965</v>
      </c>
      <c r="H44" s="15">
        <f t="shared" si="3"/>
        <v>409.84999999999991</v>
      </c>
      <c r="I44" s="18"/>
      <c r="J44" s="18"/>
    </row>
    <row r="45" spans="1:10" x14ac:dyDescent="0.25">
      <c r="A45" s="26" t="s">
        <v>14</v>
      </c>
      <c r="B45" s="26"/>
      <c r="C45" s="13">
        <f>ROUND(C44/G44,2)</f>
        <v>0.66</v>
      </c>
      <c r="D45" s="13">
        <f>ROUND(D44/G44,2)</f>
        <v>0</v>
      </c>
      <c r="E45" s="13">
        <f>ROUND(E44/G44,2)</f>
        <v>0.31</v>
      </c>
      <c r="F45" s="13">
        <f>ROUND(F44/G44,2)</f>
        <v>0.03</v>
      </c>
      <c r="G45" s="14"/>
      <c r="H45" s="14"/>
      <c r="I45" s="18"/>
      <c r="J45" s="18"/>
    </row>
    <row r="46" spans="1:10" x14ac:dyDescent="0.25">
      <c r="A46" s="2" t="s">
        <v>53</v>
      </c>
      <c r="B46" s="2"/>
      <c r="C46" s="14"/>
      <c r="D46" s="14"/>
      <c r="E46" s="14"/>
      <c r="F46" s="14"/>
      <c r="G46" s="14"/>
      <c r="H46" s="14"/>
      <c r="I46" s="18"/>
      <c r="J46" s="18"/>
    </row>
    <row r="47" spans="1:10" x14ac:dyDescent="0.25">
      <c r="C47" s="9"/>
      <c r="D47" s="9"/>
      <c r="E47" s="9"/>
      <c r="F47" s="9"/>
      <c r="G47" s="9"/>
      <c r="H47" s="9"/>
      <c r="I47" s="10"/>
      <c r="J47" s="10"/>
    </row>
    <row r="48" spans="1:10" x14ac:dyDescent="0.25">
      <c r="C48" s="9"/>
      <c r="D48" s="9"/>
      <c r="E48" s="9"/>
      <c r="F48" s="9"/>
      <c r="G48" s="9"/>
      <c r="H48" s="9"/>
      <c r="I48" s="10"/>
      <c r="J48" s="10"/>
    </row>
    <row r="49" spans="1:10" x14ac:dyDescent="0.25">
      <c r="C49" s="9"/>
      <c r="D49" s="9"/>
      <c r="E49" s="9"/>
      <c r="F49" s="9"/>
      <c r="G49" s="9"/>
      <c r="H49" s="9"/>
      <c r="I49" s="10"/>
      <c r="J49" s="10"/>
    </row>
    <row r="50" spans="1:10" x14ac:dyDescent="0.25">
      <c r="A50" s="26" t="s">
        <v>54</v>
      </c>
      <c r="B50" s="26"/>
      <c r="C50" s="12" t="s">
        <v>8</v>
      </c>
      <c r="D50" s="12" t="s">
        <v>9</v>
      </c>
      <c r="E50" s="12" t="s">
        <v>10</v>
      </c>
      <c r="F50" s="12" t="s">
        <v>11</v>
      </c>
      <c r="G50" s="12" t="s">
        <v>12</v>
      </c>
      <c r="H50" s="15" t="s">
        <v>13</v>
      </c>
      <c r="I50" s="18"/>
      <c r="J50" s="18"/>
    </row>
    <row r="51" spans="1:10" x14ac:dyDescent="0.25">
      <c r="A51" s="21" t="s">
        <v>55</v>
      </c>
      <c r="B51" s="21"/>
      <c r="C51" s="11">
        <v>971730</v>
      </c>
      <c r="D51" s="11">
        <v>60</v>
      </c>
      <c r="E51" s="11">
        <v>521723</v>
      </c>
      <c r="F51" s="11">
        <v>9022</v>
      </c>
      <c r="G51" s="11">
        <f>SUM(C51:F51)</f>
        <v>1502535</v>
      </c>
      <c r="H51" s="17">
        <f>ROUND(G51/4638,2)</f>
        <v>323.95999999999998</v>
      </c>
      <c r="I51" s="10"/>
      <c r="J51" s="10"/>
    </row>
    <row r="52" spans="1:10" x14ac:dyDescent="0.25">
      <c r="A52" s="21" t="s">
        <v>56</v>
      </c>
      <c r="B52" s="21"/>
      <c r="C52" s="11">
        <v>280570</v>
      </c>
      <c r="D52" s="11">
        <v>0</v>
      </c>
      <c r="E52" s="11">
        <v>76060</v>
      </c>
      <c r="F52" s="11">
        <v>41800</v>
      </c>
      <c r="G52" s="11">
        <f>SUM(C52:F52)</f>
        <v>398430</v>
      </c>
      <c r="H52" s="17">
        <f>ROUND(G52/4638,2)</f>
        <v>85.91</v>
      </c>
      <c r="I52" s="10"/>
      <c r="J52" s="10"/>
    </row>
    <row r="53" spans="1:10" x14ac:dyDescent="0.25">
      <c r="A53" s="21" t="s">
        <v>57</v>
      </c>
      <c r="B53" s="21"/>
      <c r="C53" s="11">
        <v>0</v>
      </c>
      <c r="D53" s="11">
        <v>0</v>
      </c>
      <c r="E53" s="11">
        <v>0</v>
      </c>
      <c r="F53" s="11">
        <v>0</v>
      </c>
      <c r="G53" s="11">
        <f>SUM(C53:F53)</f>
        <v>0</v>
      </c>
      <c r="H53" s="17">
        <f>ROUND(G53/4638,2)</f>
        <v>0</v>
      </c>
      <c r="I53" s="10"/>
      <c r="J53" s="10"/>
    </row>
    <row r="54" spans="1:10" x14ac:dyDescent="0.25">
      <c r="C54" s="9"/>
      <c r="D54" s="9"/>
      <c r="E54" s="9"/>
      <c r="F54" s="9"/>
      <c r="G54" s="9"/>
      <c r="H54" s="9"/>
      <c r="I54" s="10"/>
      <c r="J54" s="10"/>
    </row>
    <row r="55" spans="1:10" x14ac:dyDescent="0.25">
      <c r="C55" s="9"/>
      <c r="D55" s="9"/>
      <c r="E55" s="9"/>
      <c r="F55" s="9"/>
      <c r="G55" s="9"/>
      <c r="H55" s="9"/>
      <c r="I55" s="10"/>
      <c r="J55" s="10"/>
    </row>
    <row r="56" spans="1:10" x14ac:dyDescent="0.25">
      <c r="C56" s="9"/>
      <c r="D56" s="9"/>
      <c r="E56" s="9"/>
      <c r="F56" s="9"/>
      <c r="G56" s="9"/>
      <c r="H56" s="9"/>
      <c r="I56" s="10"/>
      <c r="J56" s="10"/>
    </row>
    <row r="57" spans="1:10" x14ac:dyDescent="0.25">
      <c r="C57" s="9"/>
      <c r="D57" s="9"/>
      <c r="E57" s="9"/>
      <c r="F57" s="9"/>
      <c r="G57" s="9"/>
      <c r="H57" s="9"/>
      <c r="I57" s="10"/>
      <c r="J57" s="10"/>
    </row>
    <row r="58" spans="1:10" x14ac:dyDescent="0.25">
      <c r="A58" s="26" t="s">
        <v>58</v>
      </c>
      <c r="B58" s="26"/>
      <c r="C58" s="15" t="s">
        <v>2</v>
      </c>
      <c r="D58" s="15">
        <v>2024</v>
      </c>
      <c r="E58" s="15" t="s">
        <v>60</v>
      </c>
      <c r="F58" s="14"/>
      <c r="G58" s="15" t="s">
        <v>61</v>
      </c>
      <c r="H58" s="15" t="s">
        <v>2</v>
      </c>
      <c r="I58" s="13" t="s">
        <v>62</v>
      </c>
      <c r="J58" s="13" t="s">
        <v>60</v>
      </c>
    </row>
    <row r="59" spans="1:10" x14ac:dyDescent="0.25">
      <c r="A59" s="21" t="s">
        <v>59</v>
      </c>
      <c r="B59" s="21"/>
      <c r="C59" s="16">
        <f>ROUND(0.847, 4)</f>
        <v>0.84699999999999998</v>
      </c>
      <c r="D59" s="16">
        <f>ROUND(0.8306, 4)</f>
        <v>0.8306</v>
      </c>
      <c r="E59" s="16">
        <f>ROUND(0.7856, 4)</f>
        <v>0.78559999999999997</v>
      </c>
      <c r="F59" s="9"/>
      <c r="G59" s="15" t="s">
        <v>63</v>
      </c>
      <c r="H59" s="27" t="s">
        <v>64</v>
      </c>
      <c r="I59" s="24" t="s">
        <v>65</v>
      </c>
      <c r="J59" s="24" t="s">
        <v>66</v>
      </c>
    </row>
    <row r="60" spans="1:10" x14ac:dyDescent="0.25">
      <c r="A60" s="21" t="s">
        <v>67</v>
      </c>
      <c r="B60" s="21"/>
      <c r="C60" s="16">
        <f>ROUND(0.847, 4)</f>
        <v>0.84699999999999998</v>
      </c>
      <c r="D60" s="16">
        <f>ROUND(0.818, 4)</f>
        <v>0.81799999999999995</v>
      </c>
      <c r="E60" s="16">
        <f>ROUND(0.7702, 4)</f>
        <v>0.7702</v>
      </c>
      <c r="F60" s="9"/>
      <c r="G60" s="15" t="s">
        <v>68</v>
      </c>
      <c r="H60" s="28"/>
      <c r="I60" s="25"/>
      <c r="J60" s="25"/>
    </row>
    <row r="61" spans="1:10" x14ac:dyDescent="0.25">
      <c r="C61" s="9"/>
      <c r="D61" s="9"/>
      <c r="E61" s="9"/>
      <c r="F61" s="9"/>
      <c r="G61" s="9"/>
      <c r="H61" s="9"/>
      <c r="I61" s="10"/>
      <c r="J61" s="10"/>
    </row>
    <row r="62" spans="1:10" x14ac:dyDescent="0.25">
      <c r="C62" s="9"/>
      <c r="D62" s="9"/>
      <c r="E62" s="9"/>
      <c r="F62" s="9"/>
      <c r="G62" s="9"/>
      <c r="H62" s="9"/>
      <c r="I62" s="10"/>
      <c r="J62" s="10"/>
    </row>
    <row r="63" spans="1:10" x14ac:dyDescent="0.25">
      <c r="C63" s="9"/>
      <c r="D63" s="9"/>
      <c r="E63" s="9"/>
      <c r="F63" s="9"/>
      <c r="G63" s="9"/>
      <c r="H63" s="9"/>
      <c r="I63" s="10"/>
      <c r="J63" s="10"/>
    </row>
    <row r="64" spans="1:10" x14ac:dyDescent="0.25">
      <c r="A64" s="26" t="s">
        <v>69</v>
      </c>
      <c r="B64" s="26"/>
      <c r="C64" s="15" t="s">
        <v>2</v>
      </c>
      <c r="D64" s="15" t="s">
        <v>279</v>
      </c>
      <c r="E64" s="15" t="s">
        <v>71</v>
      </c>
      <c r="F64" s="15" t="s">
        <v>72</v>
      </c>
      <c r="G64" s="15" t="s">
        <v>73</v>
      </c>
      <c r="H64" s="14"/>
      <c r="I64" s="18"/>
      <c r="J64" s="18"/>
    </row>
    <row r="65" spans="1:10" x14ac:dyDescent="0.25">
      <c r="A65" s="21" t="s">
        <v>74</v>
      </c>
      <c r="B65" s="21"/>
      <c r="C65" s="17">
        <v>60.49</v>
      </c>
      <c r="D65" s="17">
        <v>76.260000000000005</v>
      </c>
      <c r="E65" s="17">
        <v>96.15</v>
      </c>
      <c r="F65" s="17">
        <v>57.94</v>
      </c>
      <c r="G65" s="17">
        <f>12/12*C65</f>
        <v>60.49</v>
      </c>
      <c r="H65" s="9"/>
      <c r="I65" s="10"/>
      <c r="J65" s="10"/>
    </row>
    <row r="66" spans="1:10" x14ac:dyDescent="0.25">
      <c r="A66" s="21" t="s">
        <v>75</v>
      </c>
      <c r="B66" s="21"/>
      <c r="C66" s="17">
        <v>79.7</v>
      </c>
      <c r="D66" s="17">
        <v>68.540000000000006</v>
      </c>
      <c r="E66" s="17">
        <v>62.28</v>
      </c>
      <c r="F66" s="17">
        <v>66.599999999999994</v>
      </c>
      <c r="G66" s="17">
        <f>12/12*C66</f>
        <v>79.7</v>
      </c>
      <c r="H66" s="9"/>
      <c r="I66" s="10"/>
      <c r="J66" s="10"/>
    </row>
    <row r="67" spans="1:10" x14ac:dyDescent="0.25">
      <c r="A67" s="21" t="s">
        <v>76</v>
      </c>
      <c r="B67" s="21"/>
      <c r="C67" s="17">
        <v>323.95999999999998</v>
      </c>
      <c r="D67" s="17">
        <v>311.82</v>
      </c>
      <c r="E67" s="17">
        <v>300.02</v>
      </c>
      <c r="F67" s="17">
        <v>295.08</v>
      </c>
      <c r="G67" s="17">
        <f>12/12*C67</f>
        <v>323.95999999999998</v>
      </c>
      <c r="H67" s="9"/>
      <c r="I67" s="10"/>
      <c r="J67" s="10"/>
    </row>
    <row r="68" spans="1:10" x14ac:dyDescent="0.25">
      <c r="A68" s="21" t="s">
        <v>77</v>
      </c>
      <c r="B68" s="21"/>
      <c r="C68" s="17">
        <v>85.91</v>
      </c>
      <c r="D68" s="17">
        <v>105.34</v>
      </c>
      <c r="E68" s="17">
        <v>120.96</v>
      </c>
      <c r="F68" s="17">
        <v>83.12</v>
      </c>
      <c r="G68" s="17">
        <f>12/12*C68</f>
        <v>85.91</v>
      </c>
      <c r="H68" s="9"/>
      <c r="I68" s="10"/>
      <c r="J68" s="10"/>
    </row>
    <row r="69" spans="1:10" x14ac:dyDescent="0.25">
      <c r="C69" s="9"/>
      <c r="D69" s="9"/>
      <c r="E69" s="9"/>
      <c r="F69" s="9"/>
      <c r="G69" s="9"/>
      <c r="H69" s="9"/>
      <c r="I69" s="10"/>
      <c r="J69" s="10"/>
    </row>
    <row r="70" spans="1:10" x14ac:dyDescent="0.25">
      <c r="C70" s="9"/>
      <c r="D70" s="9"/>
      <c r="E70" s="9"/>
      <c r="F70" s="9"/>
      <c r="G70" s="9"/>
      <c r="H70" s="9"/>
      <c r="I70" s="10"/>
      <c r="J70" s="10"/>
    </row>
    <row r="71" spans="1:10" x14ac:dyDescent="0.25">
      <c r="A71" s="22" t="s">
        <v>61</v>
      </c>
      <c r="B71" s="23"/>
      <c r="C71" s="9"/>
      <c r="D71" s="9"/>
      <c r="E71" s="9"/>
      <c r="F71" s="9"/>
      <c r="G71" s="9"/>
      <c r="H71" s="9"/>
      <c r="I71" s="10"/>
      <c r="J71" s="10"/>
    </row>
    <row r="72" spans="1:10" x14ac:dyDescent="0.25">
      <c r="A72" s="3" t="s">
        <v>78</v>
      </c>
      <c r="B72" s="1" t="s">
        <v>280</v>
      </c>
      <c r="C72" s="9"/>
      <c r="D72" s="9"/>
      <c r="E72" s="9"/>
      <c r="F72" s="9"/>
      <c r="G72" s="9"/>
      <c r="H72" s="9"/>
      <c r="I72" s="10"/>
      <c r="J72" s="10"/>
    </row>
    <row r="73" spans="1:10" x14ac:dyDescent="0.25">
      <c r="A73" s="3" t="s">
        <v>71</v>
      </c>
      <c r="B73" s="1" t="s">
        <v>80</v>
      </c>
      <c r="C73" s="9"/>
      <c r="D73" s="9"/>
      <c r="E73" s="9"/>
      <c r="F73" s="9"/>
      <c r="G73" s="9"/>
      <c r="H73" s="9"/>
      <c r="I73" s="10"/>
      <c r="J73" s="10"/>
    </row>
    <row r="74" spans="1:10" x14ac:dyDescent="0.25">
      <c r="A74" s="3" t="s">
        <v>72</v>
      </c>
      <c r="B74" s="1" t="s">
        <v>81</v>
      </c>
      <c r="C74" s="9"/>
      <c r="D74" s="9"/>
      <c r="E74" s="9"/>
      <c r="F74" s="9"/>
      <c r="G74" s="9"/>
      <c r="H74" s="9"/>
      <c r="I74" s="10"/>
      <c r="J74" s="10"/>
    </row>
    <row r="75" spans="1:10" x14ac:dyDescent="0.25">
      <c r="A75" s="3" t="s">
        <v>73</v>
      </c>
      <c r="B75" s="1" t="s">
        <v>82</v>
      </c>
    </row>
  </sheetData>
  <mergeCells count="19">
    <mergeCell ref="C7:G7"/>
    <mergeCell ref="A44:B44"/>
    <mergeCell ref="A45:B45"/>
    <mergeCell ref="A50:B50"/>
    <mergeCell ref="A51:B51"/>
    <mergeCell ref="J59:J60"/>
    <mergeCell ref="A60:B60"/>
    <mergeCell ref="A64:B64"/>
    <mergeCell ref="A65:B65"/>
    <mergeCell ref="A52:B52"/>
    <mergeCell ref="A53:B53"/>
    <mergeCell ref="A58:B58"/>
    <mergeCell ref="A59:B59"/>
    <mergeCell ref="H59:H60"/>
    <mergeCell ref="A66:B66"/>
    <mergeCell ref="A67:B67"/>
    <mergeCell ref="A68:B68"/>
    <mergeCell ref="A71:B71"/>
    <mergeCell ref="I59:I60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J74"/>
  <sheetViews>
    <sheetView workbookViewId="0">
      <selection activeCell="H5" sqref="H5"/>
    </sheetView>
  </sheetViews>
  <sheetFormatPr defaultRowHeight="15" x14ac:dyDescent="0.25"/>
  <cols>
    <col min="1" max="1" width="28.42578125" bestFit="1" customWidth="1"/>
    <col min="2" max="2" width="59.5703125" bestFit="1" customWidth="1"/>
    <col min="3" max="3" width="12.7109375" bestFit="1" customWidth="1"/>
    <col min="4" max="4" width="27.28515625" bestFit="1" customWidth="1"/>
    <col min="5" max="5" width="13.85546875" bestFit="1" customWidth="1"/>
    <col min="6" max="6" width="8.5703125" bestFit="1" customWidth="1"/>
    <col min="7" max="7" width="47.7109375" bestFit="1" customWidth="1"/>
    <col min="8" max="9" width="16.7109375" bestFit="1" customWidth="1"/>
    <col min="10" max="10" width="24.42578125" bestFit="1" customWidth="1"/>
  </cols>
  <sheetData>
    <row r="2" spans="1:10" ht="18.75" x14ac:dyDescent="0.3">
      <c r="A2" s="3" t="s">
        <v>0</v>
      </c>
      <c r="B2" s="4" t="s">
        <v>281</v>
      </c>
    </row>
    <row r="3" spans="1:10" x14ac:dyDescent="0.25">
      <c r="A3" s="3" t="s">
        <v>2</v>
      </c>
      <c r="B3" s="1" t="s">
        <v>3</v>
      </c>
    </row>
    <row r="4" spans="1:10" x14ac:dyDescent="0.25">
      <c r="A4" s="3" t="s">
        <v>4</v>
      </c>
      <c r="B4" s="20">
        <v>6015</v>
      </c>
    </row>
    <row r="7" spans="1:10" x14ac:dyDescent="0.25">
      <c r="C7" s="22" t="s">
        <v>5</v>
      </c>
      <c r="D7" s="21"/>
      <c r="E7" s="21"/>
      <c r="F7" s="21"/>
      <c r="G7" s="21"/>
    </row>
    <row r="8" spans="1:10" x14ac:dyDescent="0.25">
      <c r="A8" s="3" t="s">
        <v>6</v>
      </c>
      <c r="B8" s="3" t="s">
        <v>7</v>
      </c>
      <c r="C8" s="15" t="s">
        <v>8</v>
      </c>
      <c r="D8" s="15" t="s">
        <v>9</v>
      </c>
      <c r="E8" s="15" t="s">
        <v>10</v>
      </c>
      <c r="F8" s="15" t="s">
        <v>11</v>
      </c>
      <c r="G8" s="15" t="s">
        <v>12</v>
      </c>
      <c r="H8" s="15" t="s">
        <v>13</v>
      </c>
      <c r="I8" s="15" t="s">
        <v>14</v>
      </c>
      <c r="J8" s="15" t="s">
        <v>15</v>
      </c>
    </row>
    <row r="9" spans="1:10" x14ac:dyDescent="0.25">
      <c r="A9" s="1" t="s">
        <v>49</v>
      </c>
      <c r="B9" s="1" t="s">
        <v>51</v>
      </c>
      <c r="C9" s="11"/>
      <c r="D9" s="11"/>
      <c r="E9" s="11"/>
      <c r="F9" s="11">
        <v>320</v>
      </c>
      <c r="G9" s="11">
        <f t="shared" ref="G9:G42" si="0">SUM(C9:F9)</f>
        <v>320</v>
      </c>
      <c r="H9" s="17">
        <f t="shared" ref="H9:H42" si="1">ROUND(G9/6015,2)</f>
        <v>0.05</v>
      </c>
      <c r="I9" s="16">
        <f t="shared" ref="I9:I42" si="2">ROUND(G9/$G$43,3)</f>
        <v>0</v>
      </c>
      <c r="J9" s="16"/>
    </row>
    <row r="10" spans="1:10" x14ac:dyDescent="0.25">
      <c r="A10" s="1" t="s">
        <v>49</v>
      </c>
      <c r="B10" s="1" t="s">
        <v>52</v>
      </c>
      <c r="C10" s="11"/>
      <c r="D10" s="11"/>
      <c r="E10" s="11"/>
      <c r="F10" s="11"/>
      <c r="G10" s="11">
        <f t="shared" si="0"/>
        <v>0</v>
      </c>
      <c r="H10" s="17">
        <f t="shared" si="1"/>
        <v>0</v>
      </c>
      <c r="I10" s="16">
        <f t="shared" si="2"/>
        <v>0</v>
      </c>
      <c r="J10" s="16"/>
    </row>
    <row r="11" spans="1:10" x14ac:dyDescent="0.25">
      <c r="A11" s="1" t="s">
        <v>49</v>
      </c>
      <c r="B11" s="1" t="s">
        <v>50</v>
      </c>
      <c r="C11" s="11"/>
      <c r="D11" s="11"/>
      <c r="E11" s="11"/>
      <c r="F11" s="11"/>
      <c r="G11" s="11">
        <f t="shared" si="0"/>
        <v>0</v>
      </c>
      <c r="H11" s="17">
        <f t="shared" si="1"/>
        <v>0</v>
      </c>
      <c r="I11" s="16">
        <f t="shared" si="2"/>
        <v>0</v>
      </c>
      <c r="J11" s="16">
        <f>ROUND(G11/6-1,2)</f>
        <v>-1</v>
      </c>
    </row>
    <row r="12" spans="1:10" x14ac:dyDescent="0.25">
      <c r="A12" s="1" t="s">
        <v>16</v>
      </c>
      <c r="B12" s="1" t="s">
        <v>17</v>
      </c>
      <c r="C12" s="11"/>
      <c r="D12" s="11"/>
      <c r="E12" s="11">
        <v>170</v>
      </c>
      <c r="F12" s="11"/>
      <c r="G12" s="11">
        <f t="shared" si="0"/>
        <v>170</v>
      </c>
      <c r="H12" s="17">
        <f t="shared" si="1"/>
        <v>0.03</v>
      </c>
      <c r="I12" s="16">
        <f t="shared" si="2"/>
        <v>0</v>
      </c>
      <c r="J12" s="16">
        <f>ROUND(G12/40-1,2)</f>
        <v>3.25</v>
      </c>
    </row>
    <row r="13" spans="1:10" x14ac:dyDescent="0.25">
      <c r="A13" s="1" t="s">
        <v>16</v>
      </c>
      <c r="B13" s="1" t="s">
        <v>19</v>
      </c>
      <c r="C13" s="11">
        <v>212330</v>
      </c>
      <c r="D13" s="11"/>
      <c r="E13" s="11">
        <v>6890</v>
      </c>
      <c r="F13" s="11">
        <v>5480</v>
      </c>
      <c r="G13" s="11">
        <f t="shared" si="0"/>
        <v>224700</v>
      </c>
      <c r="H13" s="17">
        <f t="shared" si="1"/>
        <v>37.36</v>
      </c>
      <c r="I13" s="16">
        <f t="shared" si="2"/>
        <v>9.5000000000000001E-2</v>
      </c>
      <c r="J13" s="16">
        <f>ROUND(G13/224850-1,2)</f>
        <v>0</v>
      </c>
    </row>
    <row r="14" spans="1:10" x14ac:dyDescent="0.25">
      <c r="A14" s="1" t="s">
        <v>16</v>
      </c>
      <c r="B14" s="1" t="s">
        <v>20</v>
      </c>
      <c r="C14" s="11">
        <v>219400</v>
      </c>
      <c r="D14" s="11"/>
      <c r="E14" s="11"/>
      <c r="F14" s="11"/>
      <c r="G14" s="11">
        <f t="shared" si="0"/>
        <v>219400</v>
      </c>
      <c r="H14" s="17">
        <f t="shared" si="1"/>
        <v>36.479999999999997</v>
      </c>
      <c r="I14" s="16">
        <f t="shared" si="2"/>
        <v>9.1999999999999998E-2</v>
      </c>
      <c r="J14" s="16">
        <f>ROUND(G14/231370-1,2)</f>
        <v>-0.05</v>
      </c>
    </row>
    <row r="15" spans="1:10" x14ac:dyDescent="0.25">
      <c r="A15" s="1" t="s">
        <v>16</v>
      </c>
      <c r="B15" s="1" t="s">
        <v>87</v>
      </c>
      <c r="C15" s="11"/>
      <c r="D15" s="11"/>
      <c r="E15" s="11">
        <v>353</v>
      </c>
      <c r="F15" s="11"/>
      <c r="G15" s="11">
        <f t="shared" si="0"/>
        <v>353</v>
      </c>
      <c r="H15" s="17">
        <f t="shared" si="1"/>
        <v>0.06</v>
      </c>
      <c r="I15" s="16">
        <f t="shared" si="2"/>
        <v>0</v>
      </c>
      <c r="J15" s="16">
        <f>ROUND(G15/358-1,2)</f>
        <v>-0.01</v>
      </c>
    </row>
    <row r="16" spans="1:10" x14ac:dyDescent="0.25">
      <c r="A16" s="1" t="s">
        <v>16</v>
      </c>
      <c r="B16" s="1" t="s">
        <v>21</v>
      </c>
      <c r="C16" s="11"/>
      <c r="D16" s="11"/>
      <c r="E16" s="11">
        <v>232</v>
      </c>
      <c r="F16" s="11"/>
      <c r="G16" s="11">
        <f t="shared" si="0"/>
        <v>232</v>
      </c>
      <c r="H16" s="17">
        <f t="shared" si="1"/>
        <v>0.04</v>
      </c>
      <c r="I16" s="16">
        <f t="shared" si="2"/>
        <v>0</v>
      </c>
      <c r="J16" s="16">
        <f>ROUND(G16/304-1,2)</f>
        <v>-0.24</v>
      </c>
    </row>
    <row r="17" spans="1:10" x14ac:dyDescent="0.25">
      <c r="A17" s="1" t="s">
        <v>16</v>
      </c>
      <c r="B17" s="1" t="s">
        <v>22</v>
      </c>
      <c r="C17" s="11"/>
      <c r="D17" s="11"/>
      <c r="E17" s="11">
        <v>2100</v>
      </c>
      <c r="F17" s="11"/>
      <c r="G17" s="11">
        <f t="shared" si="0"/>
        <v>2100</v>
      </c>
      <c r="H17" s="17">
        <f t="shared" si="1"/>
        <v>0.35</v>
      </c>
      <c r="I17" s="16">
        <f t="shared" si="2"/>
        <v>1E-3</v>
      </c>
      <c r="J17" s="16">
        <f>ROUND(G17/2580-1,2)</f>
        <v>-0.19</v>
      </c>
    </row>
    <row r="18" spans="1:10" x14ac:dyDescent="0.25">
      <c r="A18" s="1" t="s">
        <v>16</v>
      </c>
      <c r="B18" s="1" t="s">
        <v>96</v>
      </c>
      <c r="C18" s="11"/>
      <c r="D18" s="11"/>
      <c r="E18" s="11"/>
      <c r="F18" s="11">
        <v>330</v>
      </c>
      <c r="G18" s="11">
        <f t="shared" si="0"/>
        <v>330</v>
      </c>
      <c r="H18" s="17">
        <f t="shared" si="1"/>
        <v>0.05</v>
      </c>
      <c r="I18" s="16">
        <f t="shared" si="2"/>
        <v>0</v>
      </c>
      <c r="J18" s="16"/>
    </row>
    <row r="19" spans="1:10" x14ac:dyDescent="0.25">
      <c r="A19" s="1" t="s">
        <v>16</v>
      </c>
      <c r="B19" s="1" t="s">
        <v>23</v>
      </c>
      <c r="C19" s="11"/>
      <c r="D19" s="11"/>
      <c r="E19" s="11">
        <v>79700</v>
      </c>
      <c r="F19" s="11"/>
      <c r="G19" s="11">
        <f t="shared" si="0"/>
        <v>79700</v>
      </c>
      <c r="H19" s="17">
        <f t="shared" si="1"/>
        <v>13.25</v>
      </c>
      <c r="I19" s="16">
        <f t="shared" si="2"/>
        <v>3.4000000000000002E-2</v>
      </c>
      <c r="J19" s="16">
        <f>ROUND(G19/58480-1,2)</f>
        <v>0.36</v>
      </c>
    </row>
    <row r="20" spans="1:10" x14ac:dyDescent="0.25">
      <c r="A20" s="1" t="s">
        <v>16</v>
      </c>
      <c r="B20" s="1" t="s">
        <v>24</v>
      </c>
      <c r="C20" s="11">
        <v>340860</v>
      </c>
      <c r="D20" s="11"/>
      <c r="E20" s="11">
        <v>37540</v>
      </c>
      <c r="F20" s="11">
        <v>14030</v>
      </c>
      <c r="G20" s="11">
        <f t="shared" si="0"/>
        <v>392430</v>
      </c>
      <c r="H20" s="17">
        <f t="shared" si="1"/>
        <v>65.239999999999995</v>
      </c>
      <c r="I20" s="16">
        <f t="shared" si="2"/>
        <v>0.16500000000000001</v>
      </c>
      <c r="J20" s="16">
        <f>ROUND(G20/392830-1,2)</f>
        <v>0</v>
      </c>
    </row>
    <row r="21" spans="1:10" x14ac:dyDescent="0.25">
      <c r="A21" s="1" t="s">
        <v>16</v>
      </c>
      <c r="B21" s="1" t="s">
        <v>25</v>
      </c>
      <c r="C21" s="11"/>
      <c r="D21" s="11"/>
      <c r="E21" s="11">
        <v>12630</v>
      </c>
      <c r="F21" s="11"/>
      <c r="G21" s="11">
        <f t="shared" si="0"/>
        <v>12630</v>
      </c>
      <c r="H21" s="17">
        <f t="shared" si="1"/>
        <v>2.1</v>
      </c>
      <c r="I21" s="16">
        <f t="shared" si="2"/>
        <v>5.0000000000000001E-3</v>
      </c>
      <c r="J21" s="16">
        <f>ROUND(G21/9960-1,2)</f>
        <v>0.27</v>
      </c>
    </row>
    <row r="22" spans="1:10" x14ac:dyDescent="0.25">
      <c r="A22" s="1" t="s">
        <v>16</v>
      </c>
      <c r="B22" s="1" t="s">
        <v>26</v>
      </c>
      <c r="C22" s="11">
        <v>442220</v>
      </c>
      <c r="D22" s="11"/>
      <c r="E22" s="11"/>
      <c r="F22" s="11">
        <v>1360</v>
      </c>
      <c r="G22" s="11">
        <f t="shared" si="0"/>
        <v>443580</v>
      </c>
      <c r="H22" s="17">
        <f t="shared" si="1"/>
        <v>73.75</v>
      </c>
      <c r="I22" s="16">
        <f t="shared" si="2"/>
        <v>0.187</v>
      </c>
      <c r="J22" s="16">
        <f>ROUND(G22/444120-1,2)</f>
        <v>0</v>
      </c>
    </row>
    <row r="23" spans="1:10" x14ac:dyDescent="0.25">
      <c r="A23" s="1" t="s">
        <v>16</v>
      </c>
      <c r="B23" s="1" t="s">
        <v>27</v>
      </c>
      <c r="C23" s="11"/>
      <c r="D23" s="11"/>
      <c r="E23" s="11">
        <v>2301</v>
      </c>
      <c r="F23" s="11"/>
      <c r="G23" s="11">
        <f t="shared" si="0"/>
        <v>2301</v>
      </c>
      <c r="H23" s="17">
        <f t="shared" si="1"/>
        <v>0.38</v>
      </c>
      <c r="I23" s="16">
        <f t="shared" si="2"/>
        <v>1E-3</v>
      </c>
      <c r="J23" s="16">
        <f>ROUND(G23/2654-1,2)</f>
        <v>-0.13</v>
      </c>
    </row>
    <row r="24" spans="1:10" x14ac:dyDescent="0.25">
      <c r="A24" s="1" t="s">
        <v>16</v>
      </c>
      <c r="B24" s="1" t="s">
        <v>28</v>
      </c>
      <c r="C24" s="11"/>
      <c r="D24" s="11"/>
      <c r="E24" s="11">
        <v>1524</v>
      </c>
      <c r="F24" s="11"/>
      <c r="G24" s="11">
        <f t="shared" si="0"/>
        <v>1524</v>
      </c>
      <c r="H24" s="17">
        <f t="shared" si="1"/>
        <v>0.25</v>
      </c>
      <c r="I24" s="16">
        <f t="shared" si="2"/>
        <v>1E-3</v>
      </c>
      <c r="J24" s="16">
        <f>ROUND(G24/1960-1,2)</f>
        <v>-0.22</v>
      </c>
    </row>
    <row r="25" spans="1:10" x14ac:dyDescent="0.25">
      <c r="A25" s="1" t="s">
        <v>16</v>
      </c>
      <c r="B25" s="1" t="s">
        <v>29</v>
      </c>
      <c r="C25" s="11"/>
      <c r="D25" s="11"/>
      <c r="E25" s="11">
        <v>169</v>
      </c>
      <c r="F25" s="11"/>
      <c r="G25" s="11">
        <f t="shared" si="0"/>
        <v>169</v>
      </c>
      <c r="H25" s="17">
        <f t="shared" si="1"/>
        <v>0.03</v>
      </c>
      <c r="I25" s="16">
        <f t="shared" si="2"/>
        <v>0</v>
      </c>
      <c r="J25" s="16">
        <f>ROUND(G25/180-1,2)</f>
        <v>-0.06</v>
      </c>
    </row>
    <row r="26" spans="1:10" x14ac:dyDescent="0.25">
      <c r="A26" s="1" t="s">
        <v>16</v>
      </c>
      <c r="B26" s="1" t="s">
        <v>30</v>
      </c>
      <c r="C26" s="11"/>
      <c r="D26" s="11"/>
      <c r="E26" s="11">
        <v>7050</v>
      </c>
      <c r="F26" s="11"/>
      <c r="G26" s="11">
        <f t="shared" si="0"/>
        <v>7050</v>
      </c>
      <c r="H26" s="17">
        <f t="shared" si="1"/>
        <v>1.17</v>
      </c>
      <c r="I26" s="16">
        <f t="shared" si="2"/>
        <v>3.0000000000000001E-3</v>
      </c>
      <c r="J26" s="16">
        <f>ROUND(G26/7410-1,2)</f>
        <v>-0.05</v>
      </c>
    </row>
    <row r="27" spans="1:10" x14ac:dyDescent="0.25">
      <c r="A27" s="1" t="s">
        <v>16</v>
      </c>
      <c r="B27" s="1" t="s">
        <v>31</v>
      </c>
      <c r="C27" s="11"/>
      <c r="D27" s="11"/>
      <c r="E27" s="11">
        <v>1630</v>
      </c>
      <c r="F27" s="11"/>
      <c r="G27" s="11">
        <f t="shared" si="0"/>
        <v>1630</v>
      </c>
      <c r="H27" s="17">
        <f t="shared" si="1"/>
        <v>0.27</v>
      </c>
      <c r="I27" s="16">
        <f t="shared" si="2"/>
        <v>1E-3</v>
      </c>
      <c r="J27" s="16">
        <f>ROUND(G27/1560-1,2)</f>
        <v>0.04</v>
      </c>
    </row>
    <row r="28" spans="1:10" x14ac:dyDescent="0.25">
      <c r="A28" s="1" t="s">
        <v>16</v>
      </c>
      <c r="B28" s="1" t="s">
        <v>32</v>
      </c>
      <c r="C28" s="11"/>
      <c r="D28" s="11"/>
      <c r="E28" s="11">
        <v>690</v>
      </c>
      <c r="F28" s="11"/>
      <c r="G28" s="11">
        <f t="shared" si="0"/>
        <v>690</v>
      </c>
      <c r="H28" s="17">
        <f t="shared" si="1"/>
        <v>0.11</v>
      </c>
      <c r="I28" s="16">
        <f t="shared" si="2"/>
        <v>0</v>
      </c>
      <c r="J28" s="16">
        <f>ROUND(G28/490-1,2)</f>
        <v>0.41</v>
      </c>
    </row>
    <row r="29" spans="1:10" x14ac:dyDescent="0.25">
      <c r="A29" s="1" t="s">
        <v>16</v>
      </c>
      <c r="B29" s="1" t="s">
        <v>33</v>
      </c>
      <c r="C29" s="11"/>
      <c r="D29" s="11"/>
      <c r="E29" s="11">
        <v>2742</v>
      </c>
      <c r="F29" s="11"/>
      <c r="G29" s="11">
        <f t="shared" si="0"/>
        <v>2742</v>
      </c>
      <c r="H29" s="17">
        <f t="shared" si="1"/>
        <v>0.46</v>
      </c>
      <c r="I29" s="16">
        <f t="shared" si="2"/>
        <v>1E-3</v>
      </c>
      <c r="J29" s="16">
        <f>ROUND(G29/2405-1,2)</f>
        <v>0.14000000000000001</v>
      </c>
    </row>
    <row r="30" spans="1:10" x14ac:dyDescent="0.25">
      <c r="A30" s="1" t="s">
        <v>16</v>
      </c>
      <c r="B30" s="1" t="s">
        <v>34</v>
      </c>
      <c r="C30" s="11"/>
      <c r="D30" s="11">
        <v>190</v>
      </c>
      <c r="E30" s="11">
        <v>423</v>
      </c>
      <c r="F30" s="11"/>
      <c r="G30" s="11">
        <f t="shared" si="0"/>
        <v>613</v>
      </c>
      <c r="H30" s="17">
        <f t="shared" si="1"/>
        <v>0.1</v>
      </c>
      <c r="I30" s="16">
        <f t="shared" si="2"/>
        <v>0</v>
      </c>
      <c r="J30" s="16">
        <f>ROUND(G30/598-1,2)</f>
        <v>0.03</v>
      </c>
    </row>
    <row r="31" spans="1:10" x14ac:dyDescent="0.25">
      <c r="A31" s="1" t="s">
        <v>16</v>
      </c>
      <c r="B31" s="1" t="s">
        <v>35</v>
      </c>
      <c r="C31" s="11"/>
      <c r="D31" s="11"/>
      <c r="E31" s="11">
        <v>1034</v>
      </c>
      <c r="F31" s="11"/>
      <c r="G31" s="11">
        <f t="shared" si="0"/>
        <v>1034</v>
      </c>
      <c r="H31" s="17">
        <f t="shared" si="1"/>
        <v>0.17</v>
      </c>
      <c r="I31" s="16">
        <f t="shared" si="2"/>
        <v>0</v>
      </c>
      <c r="J31" s="16">
        <f>ROUND(G31/740-1,2)</f>
        <v>0.4</v>
      </c>
    </row>
    <row r="32" spans="1:10" x14ac:dyDescent="0.25">
      <c r="A32" s="1" t="s">
        <v>16</v>
      </c>
      <c r="B32" s="1" t="s">
        <v>36</v>
      </c>
      <c r="C32" s="11"/>
      <c r="D32" s="11"/>
      <c r="E32" s="11">
        <v>800</v>
      </c>
      <c r="F32" s="11"/>
      <c r="G32" s="11">
        <f t="shared" si="0"/>
        <v>800</v>
      </c>
      <c r="H32" s="17">
        <f t="shared" si="1"/>
        <v>0.13</v>
      </c>
      <c r="I32" s="16">
        <f t="shared" si="2"/>
        <v>0</v>
      </c>
      <c r="J32" s="16">
        <f>ROUND(G32/906-1,2)</f>
        <v>-0.12</v>
      </c>
    </row>
    <row r="33" spans="1:10" x14ac:dyDescent="0.25">
      <c r="A33" s="1" t="s">
        <v>16</v>
      </c>
      <c r="B33" s="1" t="s">
        <v>37</v>
      </c>
      <c r="C33" s="11"/>
      <c r="D33" s="11"/>
      <c r="E33" s="11">
        <v>5640</v>
      </c>
      <c r="F33" s="11"/>
      <c r="G33" s="11">
        <f t="shared" si="0"/>
        <v>5640</v>
      </c>
      <c r="H33" s="17">
        <f t="shared" si="1"/>
        <v>0.94</v>
      </c>
      <c r="I33" s="16">
        <f t="shared" si="2"/>
        <v>2E-3</v>
      </c>
      <c r="J33" s="16">
        <f>ROUND(G33/4160-1,2)</f>
        <v>0.36</v>
      </c>
    </row>
    <row r="34" spans="1:10" x14ac:dyDescent="0.25">
      <c r="A34" s="1" t="s">
        <v>16</v>
      </c>
      <c r="B34" s="1" t="s">
        <v>39</v>
      </c>
      <c r="C34" s="11"/>
      <c r="D34" s="11"/>
      <c r="E34" s="11">
        <v>13490</v>
      </c>
      <c r="F34" s="11"/>
      <c r="G34" s="11">
        <f t="shared" si="0"/>
        <v>13490</v>
      </c>
      <c r="H34" s="17">
        <f t="shared" si="1"/>
        <v>2.2400000000000002</v>
      </c>
      <c r="I34" s="16">
        <f t="shared" si="2"/>
        <v>6.0000000000000001E-3</v>
      </c>
      <c r="J34" s="16">
        <f>ROUND(G34/14420-1,2)</f>
        <v>-0.06</v>
      </c>
    </row>
    <row r="35" spans="1:10" x14ac:dyDescent="0.25">
      <c r="A35" s="1" t="s">
        <v>16</v>
      </c>
      <c r="B35" s="1" t="s">
        <v>38</v>
      </c>
      <c r="C35" s="11"/>
      <c r="D35" s="11"/>
      <c r="E35" s="11">
        <v>5990</v>
      </c>
      <c r="F35" s="11"/>
      <c r="G35" s="11">
        <f t="shared" si="0"/>
        <v>5990</v>
      </c>
      <c r="H35" s="17">
        <f t="shared" si="1"/>
        <v>1</v>
      </c>
      <c r="I35" s="16">
        <f t="shared" si="2"/>
        <v>3.0000000000000001E-3</v>
      </c>
      <c r="J35" s="16">
        <f>ROUND(G35/9800-1,2)</f>
        <v>-0.39</v>
      </c>
    </row>
    <row r="36" spans="1:10" x14ac:dyDescent="0.25">
      <c r="A36" s="1" t="s">
        <v>16</v>
      </c>
      <c r="B36" s="1" t="s">
        <v>40</v>
      </c>
      <c r="C36" s="11"/>
      <c r="D36" s="11"/>
      <c r="E36" s="11">
        <v>187195</v>
      </c>
      <c r="F36" s="11"/>
      <c r="G36" s="11">
        <f t="shared" si="0"/>
        <v>187195</v>
      </c>
      <c r="H36" s="17">
        <f t="shared" si="1"/>
        <v>31.12</v>
      </c>
      <c r="I36" s="16">
        <f t="shared" si="2"/>
        <v>7.9000000000000001E-2</v>
      </c>
      <c r="J36" s="16">
        <f>ROUND(G36/162395-1,2)</f>
        <v>0.15</v>
      </c>
    </row>
    <row r="37" spans="1:10" x14ac:dyDescent="0.25">
      <c r="A37" s="1" t="s">
        <v>16</v>
      </c>
      <c r="B37" s="1" t="s">
        <v>41</v>
      </c>
      <c r="C37" s="11"/>
      <c r="D37" s="11"/>
      <c r="E37" s="11">
        <v>9100</v>
      </c>
      <c r="F37" s="11"/>
      <c r="G37" s="11">
        <f t="shared" si="0"/>
        <v>9100</v>
      </c>
      <c r="H37" s="17">
        <f t="shared" si="1"/>
        <v>1.51</v>
      </c>
      <c r="I37" s="16">
        <f t="shared" si="2"/>
        <v>4.0000000000000001E-3</v>
      </c>
      <c r="J37" s="16">
        <f>ROUND(G37/8170-1,2)</f>
        <v>0.11</v>
      </c>
    </row>
    <row r="38" spans="1:10" x14ac:dyDescent="0.25">
      <c r="A38" s="1" t="s">
        <v>16</v>
      </c>
      <c r="B38" s="1" t="s">
        <v>42</v>
      </c>
      <c r="C38" s="11"/>
      <c r="D38" s="11"/>
      <c r="E38" s="11">
        <v>34940</v>
      </c>
      <c r="F38" s="11"/>
      <c r="G38" s="11">
        <f t="shared" si="0"/>
        <v>34940</v>
      </c>
      <c r="H38" s="17">
        <f t="shared" si="1"/>
        <v>5.81</v>
      </c>
      <c r="I38" s="16">
        <f t="shared" si="2"/>
        <v>1.4999999999999999E-2</v>
      </c>
      <c r="J38" s="16">
        <f>ROUND(G38/32340-1,2)</f>
        <v>0.08</v>
      </c>
    </row>
    <row r="39" spans="1:10" x14ac:dyDescent="0.25">
      <c r="A39" s="1" t="s">
        <v>16</v>
      </c>
      <c r="B39" s="1" t="s">
        <v>44</v>
      </c>
      <c r="C39" s="11"/>
      <c r="D39" s="11"/>
      <c r="E39" s="11">
        <v>234440</v>
      </c>
      <c r="F39" s="11"/>
      <c r="G39" s="11">
        <f t="shared" si="0"/>
        <v>234440</v>
      </c>
      <c r="H39" s="17">
        <f t="shared" si="1"/>
        <v>38.979999999999997</v>
      </c>
      <c r="I39" s="16">
        <f t="shared" si="2"/>
        <v>9.9000000000000005E-2</v>
      </c>
      <c r="J39" s="16">
        <f>ROUND(G39/233790-1,2)</f>
        <v>0</v>
      </c>
    </row>
    <row r="40" spans="1:10" x14ac:dyDescent="0.25">
      <c r="A40" s="1" t="s">
        <v>45</v>
      </c>
      <c r="B40" s="1" t="s">
        <v>46</v>
      </c>
      <c r="C40" s="11">
        <v>320395</v>
      </c>
      <c r="D40" s="11"/>
      <c r="E40" s="11"/>
      <c r="F40" s="11"/>
      <c r="G40" s="11">
        <f t="shared" si="0"/>
        <v>320395</v>
      </c>
      <c r="H40" s="17">
        <f t="shared" si="1"/>
        <v>53.27</v>
      </c>
      <c r="I40" s="16">
        <f t="shared" si="2"/>
        <v>0.13500000000000001</v>
      </c>
      <c r="J40" s="16">
        <f>ROUND(G40/317155-1,2)</f>
        <v>0.01</v>
      </c>
    </row>
    <row r="41" spans="1:10" x14ac:dyDescent="0.25">
      <c r="A41" s="1" t="s">
        <v>45</v>
      </c>
      <c r="B41" s="1" t="s">
        <v>48</v>
      </c>
      <c r="C41" s="11"/>
      <c r="D41" s="11"/>
      <c r="E41" s="11"/>
      <c r="F41" s="11">
        <v>51420</v>
      </c>
      <c r="G41" s="11">
        <f t="shared" si="0"/>
        <v>51420</v>
      </c>
      <c r="H41" s="17">
        <f t="shared" si="1"/>
        <v>8.5500000000000007</v>
      </c>
      <c r="I41" s="16">
        <f t="shared" si="2"/>
        <v>2.1999999999999999E-2</v>
      </c>
      <c r="J41" s="16">
        <f>ROUND(G41/39500-1,2)</f>
        <v>0.3</v>
      </c>
    </row>
    <row r="42" spans="1:10" x14ac:dyDescent="0.25">
      <c r="A42" s="1" t="s">
        <v>45</v>
      </c>
      <c r="B42" s="1" t="s">
        <v>47</v>
      </c>
      <c r="C42" s="11"/>
      <c r="D42" s="11"/>
      <c r="E42" s="11">
        <v>112040</v>
      </c>
      <c r="F42" s="11">
        <v>3420</v>
      </c>
      <c r="G42" s="11">
        <f t="shared" si="0"/>
        <v>115460</v>
      </c>
      <c r="H42" s="17">
        <f t="shared" si="1"/>
        <v>19.2</v>
      </c>
      <c r="I42" s="16">
        <f t="shared" si="2"/>
        <v>4.9000000000000002E-2</v>
      </c>
      <c r="J42" s="16">
        <f>ROUND(G42/104625-1,2)</f>
        <v>0.1</v>
      </c>
    </row>
    <row r="43" spans="1:10" x14ac:dyDescent="0.25">
      <c r="A43" s="26" t="s">
        <v>12</v>
      </c>
      <c r="B43" s="26"/>
      <c r="C43" s="12">
        <f t="shared" ref="C43:H43" si="3">SUM(C8:C42)</f>
        <v>1535205</v>
      </c>
      <c r="D43" s="12">
        <f t="shared" si="3"/>
        <v>190</v>
      </c>
      <c r="E43" s="12">
        <f t="shared" si="3"/>
        <v>760813</v>
      </c>
      <c r="F43" s="12">
        <f t="shared" si="3"/>
        <v>76360</v>
      </c>
      <c r="G43" s="12">
        <f t="shared" si="3"/>
        <v>2372568</v>
      </c>
      <c r="H43" s="15">
        <f t="shared" si="3"/>
        <v>394.44999999999993</v>
      </c>
      <c r="I43" s="18"/>
      <c r="J43" s="18"/>
    </row>
    <row r="44" spans="1:10" x14ac:dyDescent="0.25">
      <c r="A44" s="26" t="s">
        <v>14</v>
      </c>
      <c r="B44" s="26"/>
      <c r="C44" s="13">
        <f>ROUND(C43/G43,2)</f>
        <v>0.65</v>
      </c>
      <c r="D44" s="13">
        <f>ROUND(D43/G43,2)</f>
        <v>0</v>
      </c>
      <c r="E44" s="13">
        <f>ROUND(E43/G43,2)</f>
        <v>0.32</v>
      </c>
      <c r="F44" s="13">
        <f>ROUND(F43/G43,2)</f>
        <v>0.03</v>
      </c>
      <c r="G44" s="14"/>
      <c r="H44" s="14"/>
      <c r="I44" s="18"/>
      <c r="J44" s="18"/>
    </row>
    <row r="45" spans="1:10" x14ac:dyDescent="0.25">
      <c r="A45" s="2" t="s">
        <v>53</v>
      </c>
      <c r="B45" s="2"/>
      <c r="C45" s="14"/>
      <c r="D45" s="14"/>
      <c r="E45" s="14"/>
      <c r="F45" s="14"/>
      <c r="G45" s="14"/>
      <c r="H45" s="14"/>
      <c r="I45" s="18"/>
      <c r="J45" s="18"/>
    </row>
    <row r="46" spans="1:10" x14ac:dyDescent="0.25">
      <c r="C46" s="9"/>
      <c r="D46" s="9"/>
      <c r="E46" s="9"/>
      <c r="F46" s="9"/>
      <c r="G46" s="9"/>
      <c r="H46" s="9"/>
      <c r="I46" s="10"/>
      <c r="J46" s="10"/>
    </row>
    <row r="47" spans="1:10" x14ac:dyDescent="0.25">
      <c r="C47" s="9"/>
      <c r="D47" s="9"/>
      <c r="E47" s="9"/>
      <c r="F47" s="9"/>
      <c r="G47" s="9"/>
      <c r="H47" s="9"/>
      <c r="I47" s="10"/>
      <c r="J47" s="10"/>
    </row>
    <row r="48" spans="1:10" x14ac:dyDescent="0.25">
      <c r="C48" s="9"/>
      <c r="D48" s="9"/>
      <c r="E48" s="9"/>
      <c r="F48" s="9"/>
      <c r="G48" s="9"/>
      <c r="H48" s="9"/>
      <c r="I48" s="10"/>
      <c r="J48" s="10"/>
    </row>
    <row r="49" spans="1:10" x14ac:dyDescent="0.25">
      <c r="A49" s="26" t="s">
        <v>54</v>
      </c>
      <c r="B49" s="26"/>
      <c r="C49" s="12" t="s">
        <v>8</v>
      </c>
      <c r="D49" s="12" t="s">
        <v>9</v>
      </c>
      <c r="E49" s="12" t="s">
        <v>10</v>
      </c>
      <c r="F49" s="12" t="s">
        <v>11</v>
      </c>
      <c r="G49" s="12" t="s">
        <v>12</v>
      </c>
      <c r="H49" s="15" t="s">
        <v>13</v>
      </c>
      <c r="I49" s="18"/>
      <c r="J49" s="18"/>
    </row>
    <row r="50" spans="1:10" x14ac:dyDescent="0.25">
      <c r="A50" s="21" t="s">
        <v>55</v>
      </c>
      <c r="B50" s="21"/>
      <c r="C50" s="11">
        <v>1214810</v>
      </c>
      <c r="D50" s="11">
        <v>190</v>
      </c>
      <c r="E50" s="11">
        <v>648773</v>
      </c>
      <c r="F50" s="11">
        <v>21200</v>
      </c>
      <c r="G50" s="11">
        <f>SUM(C50:F50)</f>
        <v>1884973</v>
      </c>
      <c r="H50" s="17">
        <f>ROUND(G50/6015,2)</f>
        <v>313.38</v>
      </c>
      <c r="I50" s="10"/>
      <c r="J50" s="10"/>
    </row>
    <row r="51" spans="1:10" x14ac:dyDescent="0.25">
      <c r="A51" s="21" t="s">
        <v>56</v>
      </c>
      <c r="B51" s="21"/>
      <c r="C51" s="11">
        <v>320395</v>
      </c>
      <c r="D51" s="11">
        <v>0</v>
      </c>
      <c r="E51" s="11">
        <v>112040</v>
      </c>
      <c r="F51" s="11">
        <v>54840</v>
      </c>
      <c r="G51" s="11">
        <f>SUM(C51:F51)</f>
        <v>487275</v>
      </c>
      <c r="H51" s="17">
        <f>ROUND(G51/6015,2)</f>
        <v>81.010000000000005</v>
      </c>
      <c r="I51" s="10"/>
      <c r="J51" s="10"/>
    </row>
    <row r="52" spans="1:10" x14ac:dyDescent="0.25">
      <c r="A52" s="21" t="s">
        <v>57</v>
      </c>
      <c r="B52" s="21"/>
      <c r="C52" s="11">
        <v>0</v>
      </c>
      <c r="D52" s="11">
        <v>0</v>
      </c>
      <c r="E52" s="11">
        <v>0</v>
      </c>
      <c r="F52" s="11">
        <v>320</v>
      </c>
      <c r="G52" s="11">
        <f>SUM(C52:F52)</f>
        <v>320</v>
      </c>
      <c r="H52" s="17">
        <f>ROUND(G52/6015,2)</f>
        <v>0.05</v>
      </c>
      <c r="I52" s="10"/>
      <c r="J52" s="10"/>
    </row>
    <row r="53" spans="1:10" x14ac:dyDescent="0.25">
      <c r="C53" s="9"/>
      <c r="D53" s="9"/>
      <c r="E53" s="9"/>
      <c r="F53" s="9"/>
      <c r="G53" s="9"/>
      <c r="H53" s="9"/>
      <c r="I53" s="10"/>
      <c r="J53" s="10"/>
    </row>
    <row r="54" spans="1:10" x14ac:dyDescent="0.25">
      <c r="C54" s="9"/>
      <c r="D54" s="9"/>
      <c r="E54" s="9"/>
      <c r="F54" s="9"/>
      <c r="G54" s="9"/>
      <c r="H54" s="9"/>
      <c r="I54" s="10"/>
      <c r="J54" s="10"/>
    </row>
    <row r="55" spans="1:10" x14ac:dyDescent="0.25">
      <c r="C55" s="9"/>
      <c r="D55" s="9"/>
      <c r="E55" s="9"/>
      <c r="F55" s="9"/>
      <c r="G55" s="9"/>
      <c r="H55" s="9"/>
      <c r="I55" s="10"/>
      <c r="J55" s="10"/>
    </row>
    <row r="56" spans="1:10" x14ac:dyDescent="0.25">
      <c r="C56" s="9"/>
      <c r="D56" s="9"/>
      <c r="E56" s="9"/>
      <c r="F56" s="9"/>
      <c r="G56" s="9"/>
      <c r="H56" s="9"/>
      <c r="I56" s="10"/>
      <c r="J56" s="10"/>
    </row>
    <row r="57" spans="1:10" x14ac:dyDescent="0.25">
      <c r="A57" s="26" t="s">
        <v>58</v>
      </c>
      <c r="B57" s="26"/>
      <c r="C57" s="15" t="s">
        <v>2</v>
      </c>
      <c r="D57" s="15">
        <v>2024</v>
      </c>
      <c r="E57" s="15" t="s">
        <v>60</v>
      </c>
      <c r="F57" s="14"/>
      <c r="G57" s="15" t="s">
        <v>61</v>
      </c>
      <c r="H57" s="15" t="s">
        <v>2</v>
      </c>
      <c r="I57" s="13" t="s">
        <v>62</v>
      </c>
      <c r="J57" s="13" t="s">
        <v>60</v>
      </c>
    </row>
    <row r="58" spans="1:10" x14ac:dyDescent="0.25">
      <c r="A58" s="21" t="s">
        <v>59</v>
      </c>
      <c r="B58" s="21"/>
      <c r="C58" s="16">
        <f>ROUND(0.8601, 4)</f>
        <v>0.86009999999999998</v>
      </c>
      <c r="D58" s="16">
        <f>ROUND(0.853, 4)</f>
        <v>0.85299999999999998</v>
      </c>
      <c r="E58" s="16">
        <f>ROUND(0.7856, 4)</f>
        <v>0.78559999999999997</v>
      </c>
      <c r="F58" s="9"/>
      <c r="G58" s="15" t="s">
        <v>63</v>
      </c>
      <c r="H58" s="27" t="s">
        <v>64</v>
      </c>
      <c r="I58" s="24" t="s">
        <v>65</v>
      </c>
      <c r="J58" s="24" t="s">
        <v>66</v>
      </c>
    </row>
    <row r="59" spans="1:10" x14ac:dyDescent="0.25">
      <c r="A59" s="21" t="s">
        <v>67</v>
      </c>
      <c r="B59" s="21"/>
      <c r="C59" s="8">
        <f>ROUND(0.8601, 4)</f>
        <v>0.86009999999999998</v>
      </c>
      <c r="D59" s="8">
        <f>ROUND(0.8402, 4)</f>
        <v>0.84019999999999995</v>
      </c>
      <c r="E59" s="8">
        <f>ROUND(0.7702, 4)</f>
        <v>0.7702</v>
      </c>
      <c r="G59" s="3" t="s">
        <v>68</v>
      </c>
      <c r="H59" s="21"/>
      <c r="I59" s="21"/>
      <c r="J59" s="21"/>
    </row>
    <row r="63" spans="1:10" x14ac:dyDescent="0.25">
      <c r="A63" s="26" t="s">
        <v>69</v>
      </c>
      <c r="B63" s="26"/>
      <c r="C63" s="3" t="s">
        <v>2</v>
      </c>
      <c r="D63" s="3" t="s">
        <v>282</v>
      </c>
      <c r="E63" s="3" t="s">
        <v>71</v>
      </c>
      <c r="F63" s="3" t="s">
        <v>72</v>
      </c>
      <c r="G63" s="3" t="s">
        <v>73</v>
      </c>
      <c r="H63" s="2"/>
      <c r="I63" s="2"/>
      <c r="J63" s="2"/>
    </row>
    <row r="64" spans="1:10" x14ac:dyDescent="0.25">
      <c r="A64" s="21" t="s">
        <v>74</v>
      </c>
      <c r="B64" s="21"/>
      <c r="C64" s="1">
        <v>53.27</v>
      </c>
      <c r="D64" s="1">
        <v>71.900000000000006</v>
      </c>
      <c r="E64" s="1">
        <v>96.15</v>
      </c>
      <c r="F64" s="1">
        <v>57.94</v>
      </c>
      <c r="G64" s="1">
        <f>12/12*C64</f>
        <v>53.27</v>
      </c>
    </row>
    <row r="65" spans="1:7" x14ac:dyDescent="0.25">
      <c r="A65" s="21" t="s">
        <v>75</v>
      </c>
      <c r="B65" s="21"/>
      <c r="C65" s="1">
        <v>73.75</v>
      </c>
      <c r="D65" s="1">
        <v>66.930000000000007</v>
      </c>
      <c r="E65" s="1">
        <v>62.28</v>
      </c>
      <c r="F65" s="1">
        <v>66.599999999999994</v>
      </c>
      <c r="G65" s="1">
        <f>12/12*C65</f>
        <v>73.75</v>
      </c>
    </row>
    <row r="66" spans="1:7" x14ac:dyDescent="0.25">
      <c r="A66" s="21" t="s">
        <v>76</v>
      </c>
      <c r="B66" s="21"/>
      <c r="C66" s="1">
        <v>313.38</v>
      </c>
      <c r="D66" s="1">
        <v>305.88</v>
      </c>
      <c r="E66" s="1">
        <v>300.02</v>
      </c>
      <c r="F66" s="1">
        <v>295.08</v>
      </c>
      <c r="G66" s="1">
        <f>12/12*C66</f>
        <v>313.38</v>
      </c>
    </row>
    <row r="67" spans="1:7" x14ac:dyDescent="0.25">
      <c r="A67" s="21" t="s">
        <v>77</v>
      </c>
      <c r="B67" s="21"/>
      <c r="C67" s="1">
        <v>81.010000000000005</v>
      </c>
      <c r="D67" s="1">
        <v>95.75</v>
      </c>
      <c r="E67" s="1">
        <v>120.96</v>
      </c>
      <c r="F67" s="1">
        <v>83.12</v>
      </c>
      <c r="G67" s="1">
        <f>12/12*C67</f>
        <v>81.010000000000005</v>
      </c>
    </row>
    <row r="70" spans="1:7" x14ac:dyDescent="0.25">
      <c r="A70" s="22" t="s">
        <v>61</v>
      </c>
      <c r="B70" s="23"/>
    </row>
    <row r="71" spans="1:7" x14ac:dyDescent="0.25">
      <c r="A71" s="3" t="s">
        <v>78</v>
      </c>
      <c r="B71" s="1" t="s">
        <v>283</v>
      </c>
    </row>
    <row r="72" spans="1:7" x14ac:dyDescent="0.25">
      <c r="A72" s="3" t="s">
        <v>71</v>
      </c>
      <c r="B72" s="1" t="s">
        <v>80</v>
      </c>
    </row>
    <row r="73" spans="1:7" x14ac:dyDescent="0.25">
      <c r="A73" s="3" t="s">
        <v>72</v>
      </c>
      <c r="B73" s="1" t="s">
        <v>81</v>
      </c>
    </row>
    <row r="74" spans="1:7" x14ac:dyDescent="0.25">
      <c r="A74" s="3" t="s">
        <v>73</v>
      </c>
      <c r="B74" s="1" t="s">
        <v>82</v>
      </c>
    </row>
  </sheetData>
  <mergeCells count="19">
    <mergeCell ref="C7:G7"/>
    <mergeCell ref="A43:B43"/>
    <mergeCell ref="A44:B44"/>
    <mergeCell ref="A49:B49"/>
    <mergeCell ref="A50:B50"/>
    <mergeCell ref="J58:J59"/>
    <mergeCell ref="A59:B59"/>
    <mergeCell ref="A63:B63"/>
    <mergeCell ref="A64:B64"/>
    <mergeCell ref="A51:B51"/>
    <mergeCell ref="A52:B52"/>
    <mergeCell ref="A57:B57"/>
    <mergeCell ref="A58:B58"/>
    <mergeCell ref="H58:H59"/>
    <mergeCell ref="A65:B65"/>
    <mergeCell ref="A66:B66"/>
    <mergeCell ref="A67:B67"/>
    <mergeCell ref="A70:B70"/>
    <mergeCell ref="I58:I59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J70"/>
  <sheetViews>
    <sheetView workbookViewId="0">
      <selection activeCell="H5" sqref="H5"/>
    </sheetView>
  </sheetViews>
  <sheetFormatPr defaultRowHeight="15" x14ac:dyDescent="0.25"/>
  <cols>
    <col min="1" max="1" width="28.42578125" bestFit="1" customWidth="1"/>
    <col min="2" max="2" width="59.5703125" bestFit="1" customWidth="1"/>
    <col min="3" max="3" width="12.7109375" bestFit="1" customWidth="1"/>
    <col min="4" max="4" width="22.85546875" bestFit="1" customWidth="1"/>
    <col min="5" max="5" width="13.85546875" bestFit="1" customWidth="1"/>
    <col min="6" max="6" width="8.5703125" bestFit="1" customWidth="1"/>
    <col min="7" max="7" width="47.7109375" bestFit="1" customWidth="1"/>
    <col min="8" max="9" width="16.7109375" bestFit="1" customWidth="1"/>
    <col min="10" max="10" width="24.42578125" bestFit="1" customWidth="1"/>
  </cols>
  <sheetData>
    <row r="2" spans="1:10" ht="18.75" x14ac:dyDescent="0.3">
      <c r="A2" s="3" t="s">
        <v>0</v>
      </c>
      <c r="B2" s="4" t="s">
        <v>284</v>
      </c>
    </row>
    <row r="3" spans="1:10" x14ac:dyDescent="0.25">
      <c r="A3" s="3" t="s">
        <v>2</v>
      </c>
      <c r="B3" s="1" t="s">
        <v>3</v>
      </c>
    </row>
    <row r="4" spans="1:10" x14ac:dyDescent="0.25">
      <c r="A4" s="3" t="s">
        <v>4</v>
      </c>
      <c r="B4" s="20">
        <v>267</v>
      </c>
    </row>
    <row r="7" spans="1:10" x14ac:dyDescent="0.25">
      <c r="C7" s="22" t="s">
        <v>5</v>
      </c>
      <c r="D7" s="21"/>
      <c r="E7" s="21"/>
      <c r="F7" s="21"/>
      <c r="G7" s="21"/>
    </row>
    <row r="8" spans="1:10" x14ac:dyDescent="0.25">
      <c r="A8" s="3" t="s">
        <v>6</v>
      </c>
      <c r="B8" s="3" t="s">
        <v>7</v>
      </c>
      <c r="C8" s="15" t="s">
        <v>8</v>
      </c>
      <c r="D8" s="15" t="s">
        <v>9</v>
      </c>
      <c r="E8" s="15" t="s">
        <v>10</v>
      </c>
      <c r="F8" s="15" t="s">
        <v>11</v>
      </c>
      <c r="G8" s="15" t="s">
        <v>12</v>
      </c>
      <c r="H8" s="15" t="s">
        <v>13</v>
      </c>
      <c r="I8" s="15" t="s">
        <v>14</v>
      </c>
      <c r="J8" s="15" t="s">
        <v>15</v>
      </c>
    </row>
    <row r="9" spans="1:10" x14ac:dyDescent="0.25">
      <c r="A9" s="1" t="s">
        <v>16</v>
      </c>
      <c r="B9" s="1" t="s">
        <v>19</v>
      </c>
      <c r="C9" s="11">
        <v>10000</v>
      </c>
      <c r="D9" s="11"/>
      <c r="E9" s="11"/>
      <c r="F9" s="11"/>
      <c r="G9" s="11">
        <f t="shared" ref="G9:G26" si="0">SUM(C9:F9)</f>
        <v>10000</v>
      </c>
      <c r="H9" s="17">
        <f t="shared" ref="H9:H26" si="1">ROUND(G9/267,2)</f>
        <v>37.450000000000003</v>
      </c>
      <c r="I9" s="16">
        <f t="shared" ref="I9:I26" si="2">ROUND(G9/$G$27,3)</f>
        <v>6.8000000000000005E-2</v>
      </c>
      <c r="J9" s="16">
        <f>ROUND(G9/9860-1,2)</f>
        <v>0.01</v>
      </c>
    </row>
    <row r="10" spans="1:10" x14ac:dyDescent="0.25">
      <c r="A10" s="1" t="s">
        <v>16</v>
      </c>
      <c r="B10" s="1" t="s">
        <v>20</v>
      </c>
      <c r="C10" s="11">
        <v>12300</v>
      </c>
      <c r="D10" s="11"/>
      <c r="E10" s="11"/>
      <c r="F10" s="11"/>
      <c r="G10" s="11">
        <f t="shared" si="0"/>
        <v>12300</v>
      </c>
      <c r="H10" s="17">
        <f t="shared" si="1"/>
        <v>46.07</v>
      </c>
      <c r="I10" s="16">
        <f t="shared" si="2"/>
        <v>8.4000000000000005E-2</v>
      </c>
      <c r="J10" s="16">
        <f>ROUND(G10/14040-1,2)</f>
        <v>-0.12</v>
      </c>
    </row>
    <row r="11" spans="1:10" x14ac:dyDescent="0.25">
      <c r="A11" s="1" t="s">
        <v>16</v>
      </c>
      <c r="B11" s="1" t="s">
        <v>24</v>
      </c>
      <c r="C11" s="11">
        <v>20310</v>
      </c>
      <c r="D11" s="11"/>
      <c r="E11" s="11"/>
      <c r="F11" s="11"/>
      <c r="G11" s="11">
        <f t="shared" si="0"/>
        <v>20310</v>
      </c>
      <c r="H11" s="17">
        <f t="shared" si="1"/>
        <v>76.069999999999993</v>
      </c>
      <c r="I11" s="16">
        <f t="shared" si="2"/>
        <v>0.13900000000000001</v>
      </c>
      <c r="J11" s="16">
        <f>ROUND(G11/15660-1,2)</f>
        <v>0.3</v>
      </c>
    </row>
    <row r="12" spans="1:10" x14ac:dyDescent="0.25">
      <c r="A12" s="1" t="s">
        <v>16</v>
      </c>
      <c r="B12" s="1" t="s">
        <v>26</v>
      </c>
      <c r="C12" s="11">
        <v>31840</v>
      </c>
      <c r="D12" s="11"/>
      <c r="E12" s="11"/>
      <c r="F12" s="11">
        <v>80</v>
      </c>
      <c r="G12" s="11">
        <f t="shared" si="0"/>
        <v>31920</v>
      </c>
      <c r="H12" s="17">
        <f t="shared" si="1"/>
        <v>119.55</v>
      </c>
      <c r="I12" s="16">
        <f t="shared" si="2"/>
        <v>0.218</v>
      </c>
      <c r="J12" s="16">
        <f>ROUND(G12/28950-1,2)</f>
        <v>0.1</v>
      </c>
    </row>
    <row r="13" spans="1:10" x14ac:dyDescent="0.25">
      <c r="A13" s="1" t="s">
        <v>16</v>
      </c>
      <c r="B13" s="1" t="s">
        <v>30</v>
      </c>
      <c r="C13" s="11"/>
      <c r="D13" s="11"/>
      <c r="E13" s="11">
        <v>470</v>
      </c>
      <c r="F13" s="11"/>
      <c r="G13" s="11">
        <f t="shared" si="0"/>
        <v>470</v>
      </c>
      <c r="H13" s="17">
        <f t="shared" si="1"/>
        <v>1.76</v>
      </c>
      <c r="I13" s="16">
        <f t="shared" si="2"/>
        <v>3.0000000000000001E-3</v>
      </c>
      <c r="J13" s="16">
        <f>ROUND(G13/400-1,2)</f>
        <v>0.18</v>
      </c>
    </row>
    <row r="14" spans="1:10" x14ac:dyDescent="0.25">
      <c r="A14" s="1" t="s">
        <v>16</v>
      </c>
      <c r="B14" s="1" t="s">
        <v>31</v>
      </c>
      <c r="C14" s="11"/>
      <c r="D14" s="11"/>
      <c r="E14" s="11">
        <v>110</v>
      </c>
      <c r="F14" s="11"/>
      <c r="G14" s="11">
        <f t="shared" si="0"/>
        <v>110</v>
      </c>
      <c r="H14" s="17">
        <f t="shared" si="1"/>
        <v>0.41</v>
      </c>
      <c r="I14" s="16">
        <f t="shared" si="2"/>
        <v>1E-3</v>
      </c>
      <c r="J14" s="16">
        <f>ROUND(G14/160-1,2)</f>
        <v>-0.31</v>
      </c>
    </row>
    <row r="15" spans="1:10" x14ac:dyDescent="0.25">
      <c r="A15" s="1" t="s">
        <v>16</v>
      </c>
      <c r="B15" s="1" t="s">
        <v>34</v>
      </c>
      <c r="C15" s="11"/>
      <c r="D15" s="11">
        <v>37</v>
      </c>
      <c r="E15" s="11">
        <v>51</v>
      </c>
      <c r="F15" s="11"/>
      <c r="G15" s="11">
        <f t="shared" si="0"/>
        <v>88</v>
      </c>
      <c r="H15" s="17">
        <f t="shared" si="1"/>
        <v>0.33</v>
      </c>
      <c r="I15" s="16">
        <f t="shared" si="2"/>
        <v>1E-3</v>
      </c>
      <c r="J15" s="16">
        <f>ROUND(G15/132-1,2)</f>
        <v>-0.33</v>
      </c>
    </row>
    <row r="16" spans="1:10" x14ac:dyDescent="0.25">
      <c r="A16" s="1" t="s">
        <v>16</v>
      </c>
      <c r="B16" s="1" t="s">
        <v>37</v>
      </c>
      <c r="C16" s="11"/>
      <c r="D16" s="11"/>
      <c r="E16" s="11">
        <v>200</v>
      </c>
      <c r="F16" s="11"/>
      <c r="G16" s="11">
        <f t="shared" si="0"/>
        <v>200</v>
      </c>
      <c r="H16" s="17">
        <f t="shared" si="1"/>
        <v>0.75</v>
      </c>
      <c r="I16" s="16">
        <f t="shared" si="2"/>
        <v>1E-3</v>
      </c>
      <c r="J16" s="16">
        <f>ROUND(G16/250-1,2)</f>
        <v>-0.2</v>
      </c>
    </row>
    <row r="17" spans="1:10" x14ac:dyDescent="0.25">
      <c r="A17" s="1" t="s">
        <v>16</v>
      </c>
      <c r="B17" s="1" t="s">
        <v>38</v>
      </c>
      <c r="C17" s="11"/>
      <c r="D17" s="11"/>
      <c r="E17" s="11">
        <v>430</v>
      </c>
      <c r="F17" s="11"/>
      <c r="G17" s="11">
        <f t="shared" si="0"/>
        <v>430</v>
      </c>
      <c r="H17" s="17">
        <f t="shared" si="1"/>
        <v>1.61</v>
      </c>
      <c r="I17" s="16">
        <f t="shared" si="2"/>
        <v>3.0000000000000001E-3</v>
      </c>
      <c r="J17" s="16">
        <f>ROUND(G17/470-1,2)</f>
        <v>-0.09</v>
      </c>
    </row>
    <row r="18" spans="1:10" x14ac:dyDescent="0.25">
      <c r="A18" s="1" t="s">
        <v>16</v>
      </c>
      <c r="B18" s="1" t="s">
        <v>39</v>
      </c>
      <c r="C18" s="11"/>
      <c r="D18" s="11"/>
      <c r="E18" s="11">
        <v>520</v>
      </c>
      <c r="F18" s="11"/>
      <c r="G18" s="11">
        <f t="shared" si="0"/>
        <v>520</v>
      </c>
      <c r="H18" s="17">
        <f t="shared" si="1"/>
        <v>1.95</v>
      </c>
      <c r="I18" s="16">
        <f t="shared" si="2"/>
        <v>4.0000000000000001E-3</v>
      </c>
      <c r="J18" s="16">
        <f>ROUND(G18/750-1,2)</f>
        <v>-0.31</v>
      </c>
    </row>
    <row r="19" spans="1:10" x14ac:dyDescent="0.25">
      <c r="A19" s="1" t="s">
        <v>16</v>
      </c>
      <c r="B19" s="1" t="s">
        <v>40</v>
      </c>
      <c r="C19" s="11"/>
      <c r="D19" s="11"/>
      <c r="E19" s="11">
        <v>5875</v>
      </c>
      <c r="F19" s="11"/>
      <c r="G19" s="11">
        <f t="shared" si="0"/>
        <v>5875</v>
      </c>
      <c r="H19" s="17">
        <f t="shared" si="1"/>
        <v>22</v>
      </c>
      <c r="I19" s="16">
        <f t="shared" si="2"/>
        <v>0.04</v>
      </c>
      <c r="J19" s="16">
        <f>ROUND(G19/7940-1,2)</f>
        <v>-0.26</v>
      </c>
    </row>
    <row r="20" spans="1:10" x14ac:dyDescent="0.25">
      <c r="A20" s="1" t="s">
        <v>16</v>
      </c>
      <c r="B20" s="1" t="s">
        <v>42</v>
      </c>
      <c r="C20" s="11"/>
      <c r="D20" s="11"/>
      <c r="E20" s="11">
        <v>3660</v>
      </c>
      <c r="F20" s="11"/>
      <c r="G20" s="11">
        <f t="shared" si="0"/>
        <v>3660</v>
      </c>
      <c r="H20" s="17">
        <f t="shared" si="1"/>
        <v>13.71</v>
      </c>
      <c r="I20" s="16">
        <f t="shared" si="2"/>
        <v>2.5000000000000001E-2</v>
      </c>
      <c r="J20" s="16">
        <f>ROUND(G20/1220-1,2)</f>
        <v>2</v>
      </c>
    </row>
    <row r="21" spans="1:10" x14ac:dyDescent="0.25">
      <c r="A21" s="1" t="s">
        <v>16</v>
      </c>
      <c r="B21" s="1" t="s">
        <v>22</v>
      </c>
      <c r="C21" s="11"/>
      <c r="D21" s="11"/>
      <c r="E21" s="11"/>
      <c r="F21" s="11"/>
      <c r="G21" s="11">
        <f t="shared" si="0"/>
        <v>0</v>
      </c>
      <c r="H21" s="17">
        <f t="shared" si="1"/>
        <v>0</v>
      </c>
      <c r="I21" s="16">
        <f t="shared" si="2"/>
        <v>0</v>
      </c>
      <c r="J21" s="16"/>
    </row>
    <row r="22" spans="1:10" x14ac:dyDescent="0.25">
      <c r="A22" s="1" t="s">
        <v>16</v>
      </c>
      <c r="B22" s="1" t="s">
        <v>23</v>
      </c>
      <c r="C22" s="11"/>
      <c r="D22" s="11"/>
      <c r="E22" s="11"/>
      <c r="F22" s="11"/>
      <c r="G22" s="11">
        <f t="shared" si="0"/>
        <v>0</v>
      </c>
      <c r="H22" s="17">
        <f t="shared" si="1"/>
        <v>0</v>
      </c>
      <c r="I22" s="16">
        <f t="shared" si="2"/>
        <v>0</v>
      </c>
      <c r="J22" s="16"/>
    </row>
    <row r="23" spans="1:10" x14ac:dyDescent="0.25">
      <c r="A23" s="1" t="s">
        <v>16</v>
      </c>
      <c r="B23" s="1" t="s">
        <v>25</v>
      </c>
      <c r="C23" s="11"/>
      <c r="D23" s="11"/>
      <c r="E23" s="11"/>
      <c r="F23" s="11"/>
      <c r="G23" s="11">
        <f t="shared" si="0"/>
        <v>0</v>
      </c>
      <c r="H23" s="17">
        <f t="shared" si="1"/>
        <v>0</v>
      </c>
      <c r="I23" s="16">
        <f t="shared" si="2"/>
        <v>0</v>
      </c>
      <c r="J23" s="16"/>
    </row>
    <row r="24" spans="1:10" x14ac:dyDescent="0.25">
      <c r="A24" s="1" t="s">
        <v>16</v>
      </c>
      <c r="B24" s="1" t="s">
        <v>36</v>
      </c>
      <c r="C24" s="11"/>
      <c r="D24" s="11"/>
      <c r="E24" s="11"/>
      <c r="F24" s="11"/>
      <c r="G24" s="11">
        <f t="shared" si="0"/>
        <v>0</v>
      </c>
      <c r="H24" s="17">
        <f t="shared" si="1"/>
        <v>0</v>
      </c>
      <c r="I24" s="16">
        <f t="shared" si="2"/>
        <v>0</v>
      </c>
      <c r="J24" s="16"/>
    </row>
    <row r="25" spans="1:10" x14ac:dyDescent="0.25">
      <c r="A25" s="1" t="s">
        <v>45</v>
      </c>
      <c r="B25" s="1" t="s">
        <v>46</v>
      </c>
      <c r="C25" s="11">
        <v>51000</v>
      </c>
      <c r="D25" s="11"/>
      <c r="E25" s="11"/>
      <c r="F25" s="11"/>
      <c r="G25" s="11">
        <f t="shared" si="0"/>
        <v>51000</v>
      </c>
      <c r="H25" s="17">
        <f t="shared" si="1"/>
        <v>191.01</v>
      </c>
      <c r="I25" s="16">
        <f t="shared" si="2"/>
        <v>0.34799999999999998</v>
      </c>
      <c r="J25" s="16">
        <f>ROUND(G25/44735-1,2)</f>
        <v>0.14000000000000001</v>
      </c>
    </row>
    <row r="26" spans="1:10" x14ac:dyDescent="0.25">
      <c r="A26" s="1" t="s">
        <v>45</v>
      </c>
      <c r="B26" s="1" t="s">
        <v>47</v>
      </c>
      <c r="C26" s="11"/>
      <c r="D26" s="11"/>
      <c r="E26" s="11">
        <v>9640</v>
      </c>
      <c r="F26" s="11"/>
      <c r="G26" s="11">
        <f t="shared" si="0"/>
        <v>9640</v>
      </c>
      <c r="H26" s="17">
        <f t="shared" si="1"/>
        <v>36.1</v>
      </c>
      <c r="I26" s="16">
        <f t="shared" si="2"/>
        <v>6.6000000000000003E-2</v>
      </c>
      <c r="J26" s="16">
        <f>ROUND(G26/13180-1,2)</f>
        <v>-0.27</v>
      </c>
    </row>
    <row r="27" spans="1:10" x14ac:dyDescent="0.25">
      <c r="A27" s="26" t="s">
        <v>12</v>
      </c>
      <c r="B27" s="26"/>
      <c r="C27" s="12">
        <f t="shared" ref="C27:H27" si="3">SUM(C8:C26)</f>
        <v>125450</v>
      </c>
      <c r="D27" s="12">
        <f t="shared" si="3"/>
        <v>37</v>
      </c>
      <c r="E27" s="12">
        <f t="shared" si="3"/>
        <v>20956</v>
      </c>
      <c r="F27" s="12">
        <f t="shared" si="3"/>
        <v>80</v>
      </c>
      <c r="G27" s="12">
        <f t="shared" si="3"/>
        <v>146523</v>
      </c>
      <c r="H27" s="15">
        <f t="shared" si="3"/>
        <v>548.77</v>
      </c>
      <c r="I27" s="18"/>
      <c r="J27" s="18"/>
    </row>
    <row r="28" spans="1:10" x14ac:dyDescent="0.25">
      <c r="A28" s="26" t="s">
        <v>14</v>
      </c>
      <c r="B28" s="26"/>
      <c r="C28" s="13">
        <f>ROUND(C27/G27,2)</f>
        <v>0.86</v>
      </c>
      <c r="D28" s="13">
        <f>ROUND(D27/G27,2)</f>
        <v>0</v>
      </c>
      <c r="E28" s="13">
        <f>ROUND(E27/G27,2)</f>
        <v>0.14000000000000001</v>
      </c>
      <c r="F28" s="13">
        <f>ROUND(F27/G27,2)</f>
        <v>0</v>
      </c>
      <c r="G28" s="14"/>
      <c r="H28" s="14"/>
      <c r="I28" s="18"/>
      <c r="J28" s="18"/>
    </row>
    <row r="29" spans="1:10" x14ac:dyDescent="0.25">
      <c r="A29" s="2" t="s">
        <v>53</v>
      </c>
      <c r="B29" s="2"/>
      <c r="C29" s="14"/>
      <c r="D29" s="14"/>
      <c r="E29" s="14"/>
      <c r="F29" s="14"/>
      <c r="G29" s="14"/>
      <c r="H29" s="14"/>
      <c r="I29" s="18"/>
      <c r="J29" s="18"/>
    </row>
    <row r="30" spans="1:10" x14ac:dyDescent="0.25">
      <c r="C30" s="9"/>
      <c r="D30" s="9"/>
      <c r="E30" s="9"/>
      <c r="F30" s="9"/>
      <c r="G30" s="9"/>
      <c r="H30" s="9"/>
      <c r="I30" s="10"/>
      <c r="J30" s="10"/>
    </row>
    <row r="31" spans="1:10" x14ac:dyDescent="0.25">
      <c r="C31" s="9"/>
      <c r="D31" s="9"/>
      <c r="E31" s="9"/>
      <c r="F31" s="9"/>
      <c r="G31" s="9"/>
      <c r="H31" s="9"/>
      <c r="I31" s="10"/>
      <c r="J31" s="10"/>
    </row>
    <row r="32" spans="1:10" x14ac:dyDescent="0.25">
      <c r="C32" s="9"/>
      <c r="D32" s="9"/>
      <c r="E32" s="9"/>
      <c r="F32" s="9"/>
      <c r="G32" s="9"/>
      <c r="H32" s="9"/>
      <c r="I32" s="10"/>
      <c r="J32" s="10"/>
    </row>
    <row r="33" spans="1:10" x14ac:dyDescent="0.25">
      <c r="A33" s="26" t="s">
        <v>54</v>
      </c>
      <c r="B33" s="26"/>
      <c r="C33" s="12" t="s">
        <v>8</v>
      </c>
      <c r="D33" s="12" t="s">
        <v>9</v>
      </c>
      <c r="E33" s="12" t="s">
        <v>10</v>
      </c>
      <c r="F33" s="12" t="s">
        <v>11</v>
      </c>
      <c r="G33" s="12" t="s">
        <v>12</v>
      </c>
      <c r="H33" s="15" t="s">
        <v>13</v>
      </c>
      <c r="I33" s="18"/>
      <c r="J33" s="18"/>
    </row>
    <row r="34" spans="1:10" x14ac:dyDescent="0.25">
      <c r="A34" s="21" t="s">
        <v>55</v>
      </c>
      <c r="B34" s="21"/>
      <c r="C34" s="11">
        <v>74450</v>
      </c>
      <c r="D34" s="11">
        <v>37</v>
      </c>
      <c r="E34" s="11">
        <v>11316</v>
      </c>
      <c r="F34" s="11">
        <v>80</v>
      </c>
      <c r="G34" s="11">
        <f>SUM(C34:F34)</f>
        <v>85883</v>
      </c>
      <c r="H34" s="17">
        <f>ROUND(G34/267,2)</f>
        <v>321.66000000000003</v>
      </c>
      <c r="I34" s="10"/>
      <c r="J34" s="10"/>
    </row>
    <row r="35" spans="1:10" x14ac:dyDescent="0.25">
      <c r="A35" s="21" t="s">
        <v>56</v>
      </c>
      <c r="B35" s="21"/>
      <c r="C35" s="11">
        <v>51000</v>
      </c>
      <c r="D35" s="11">
        <v>0</v>
      </c>
      <c r="E35" s="11">
        <v>9640</v>
      </c>
      <c r="F35" s="11">
        <v>0</v>
      </c>
      <c r="G35" s="11">
        <f>SUM(C35:F35)</f>
        <v>60640</v>
      </c>
      <c r="H35" s="17">
        <f>ROUND(G35/267,2)</f>
        <v>227.12</v>
      </c>
      <c r="I35" s="10"/>
      <c r="J35" s="10"/>
    </row>
    <row r="36" spans="1:10" x14ac:dyDescent="0.25">
      <c r="A36" s="21" t="s">
        <v>57</v>
      </c>
      <c r="B36" s="21"/>
      <c r="C36" s="11"/>
      <c r="D36" s="11"/>
      <c r="E36" s="11"/>
      <c r="F36" s="11"/>
      <c r="G36" s="11">
        <f>SUM(C36:F36)</f>
        <v>0</v>
      </c>
      <c r="H36" s="17">
        <f>ROUND(G36/267,2)</f>
        <v>0</v>
      </c>
      <c r="I36" s="10"/>
      <c r="J36" s="10"/>
    </row>
    <row r="37" spans="1:10" x14ac:dyDescent="0.25">
      <c r="C37" s="9"/>
      <c r="D37" s="9"/>
      <c r="E37" s="9"/>
      <c r="F37" s="9"/>
      <c r="G37" s="9"/>
      <c r="H37" s="9"/>
      <c r="I37" s="10"/>
      <c r="J37" s="10"/>
    </row>
    <row r="38" spans="1:10" x14ac:dyDescent="0.25">
      <c r="C38" s="9"/>
      <c r="D38" s="9"/>
      <c r="E38" s="9"/>
      <c r="F38" s="9"/>
      <c r="G38" s="9"/>
      <c r="H38" s="9"/>
      <c r="I38" s="10"/>
      <c r="J38" s="10"/>
    </row>
    <row r="39" spans="1:10" x14ac:dyDescent="0.25">
      <c r="C39" s="9"/>
      <c r="D39" s="9"/>
      <c r="E39" s="9"/>
      <c r="F39" s="9"/>
      <c r="G39" s="9"/>
      <c r="H39" s="9"/>
      <c r="I39" s="10"/>
      <c r="J39" s="10"/>
    </row>
    <row r="40" spans="1:10" x14ac:dyDescent="0.25">
      <c r="C40" s="9"/>
      <c r="D40" s="9"/>
      <c r="E40" s="9"/>
      <c r="F40" s="9"/>
      <c r="G40" s="9"/>
      <c r="H40" s="9"/>
      <c r="I40" s="10"/>
      <c r="J40" s="10"/>
    </row>
    <row r="41" spans="1:10" x14ac:dyDescent="0.25">
      <c r="A41" s="26" t="s">
        <v>58</v>
      </c>
      <c r="B41" s="26"/>
      <c r="C41" s="15" t="s">
        <v>2</v>
      </c>
      <c r="D41" s="15">
        <v>2024</v>
      </c>
      <c r="E41" s="15" t="s">
        <v>60</v>
      </c>
      <c r="F41" s="14"/>
      <c r="G41" s="15" t="s">
        <v>61</v>
      </c>
      <c r="H41" s="15" t="s">
        <v>2</v>
      </c>
      <c r="I41" s="13" t="s">
        <v>62</v>
      </c>
      <c r="J41" s="13" t="s">
        <v>60</v>
      </c>
    </row>
    <row r="42" spans="1:10" x14ac:dyDescent="0.25">
      <c r="A42" s="21" t="s">
        <v>59</v>
      </c>
      <c r="B42" s="21"/>
      <c r="C42" s="16">
        <f>ROUND(0.6519, 4)</f>
        <v>0.65190000000000003</v>
      </c>
      <c r="D42" s="16">
        <f>ROUND(0.6649, 4)</f>
        <v>0.66490000000000005</v>
      </c>
      <c r="E42" s="16">
        <f>ROUND(0.7856, 4)</f>
        <v>0.78559999999999997</v>
      </c>
      <c r="F42" s="9"/>
      <c r="G42" s="15" t="s">
        <v>63</v>
      </c>
      <c r="H42" s="27" t="s">
        <v>64</v>
      </c>
      <c r="I42" s="24" t="s">
        <v>65</v>
      </c>
      <c r="J42" s="24" t="s">
        <v>66</v>
      </c>
    </row>
    <row r="43" spans="1:10" x14ac:dyDescent="0.25">
      <c r="A43" s="21" t="s">
        <v>67</v>
      </c>
      <c r="B43" s="21"/>
      <c r="C43" s="16">
        <f>ROUND(0.6519, 4)</f>
        <v>0.65190000000000003</v>
      </c>
      <c r="D43" s="16">
        <f>ROUND(0.6557, 4)</f>
        <v>0.65569999999999995</v>
      </c>
      <c r="E43" s="16">
        <f>ROUND(0.7702, 4)</f>
        <v>0.7702</v>
      </c>
      <c r="F43" s="9"/>
      <c r="G43" s="15" t="s">
        <v>68</v>
      </c>
      <c r="H43" s="28"/>
      <c r="I43" s="25"/>
      <c r="J43" s="25"/>
    </row>
    <row r="44" spans="1:10" x14ac:dyDescent="0.25">
      <c r="C44" s="9"/>
      <c r="D44" s="9"/>
      <c r="E44" s="9"/>
      <c r="F44" s="9"/>
      <c r="G44" s="9"/>
      <c r="H44" s="9"/>
      <c r="I44" s="10"/>
      <c r="J44" s="10"/>
    </row>
    <row r="45" spans="1:10" x14ac:dyDescent="0.25">
      <c r="C45" s="9"/>
      <c r="D45" s="9"/>
      <c r="E45" s="9"/>
      <c r="F45" s="9"/>
      <c r="G45" s="9"/>
      <c r="H45" s="9"/>
      <c r="I45" s="10"/>
      <c r="J45" s="10"/>
    </row>
    <row r="46" spans="1:10" x14ac:dyDescent="0.25">
      <c r="C46" s="9"/>
      <c r="D46" s="9"/>
      <c r="E46" s="9"/>
      <c r="F46" s="9"/>
      <c r="G46" s="9"/>
      <c r="H46" s="9"/>
      <c r="I46" s="10"/>
      <c r="J46" s="10"/>
    </row>
    <row r="47" spans="1:10" x14ac:dyDescent="0.25">
      <c r="A47" s="26" t="s">
        <v>69</v>
      </c>
      <c r="B47" s="26"/>
      <c r="C47" s="15" t="s">
        <v>2</v>
      </c>
      <c r="D47" s="15" t="s">
        <v>285</v>
      </c>
      <c r="E47" s="15" t="s">
        <v>71</v>
      </c>
      <c r="F47" s="15" t="s">
        <v>72</v>
      </c>
      <c r="G47" s="15" t="s">
        <v>73</v>
      </c>
      <c r="H47" s="14"/>
      <c r="I47" s="18"/>
      <c r="J47" s="18"/>
    </row>
    <row r="48" spans="1:10" x14ac:dyDescent="0.25">
      <c r="A48" s="21" t="s">
        <v>74</v>
      </c>
      <c r="B48" s="21"/>
      <c r="C48" s="17">
        <v>191.01</v>
      </c>
      <c r="D48" s="17">
        <v>159.9</v>
      </c>
      <c r="E48" s="17">
        <v>96.15</v>
      </c>
      <c r="F48" s="17">
        <v>57.94</v>
      </c>
      <c r="G48" s="17">
        <f>12/12*C48</f>
        <v>191.01</v>
      </c>
      <c r="H48" s="9"/>
      <c r="I48" s="10"/>
      <c r="J48" s="10"/>
    </row>
    <row r="49" spans="1:10" x14ac:dyDescent="0.25">
      <c r="A49" s="21" t="s">
        <v>75</v>
      </c>
      <c r="B49" s="21"/>
      <c r="C49" s="17">
        <v>119.55</v>
      </c>
      <c r="D49" s="17">
        <v>109.09</v>
      </c>
      <c r="E49" s="17">
        <v>62.28</v>
      </c>
      <c r="F49" s="17">
        <v>66.599999999999994</v>
      </c>
      <c r="G49" s="17">
        <f>12/12*C49</f>
        <v>119.55</v>
      </c>
      <c r="H49" s="9"/>
      <c r="I49" s="10"/>
      <c r="J49" s="10"/>
    </row>
    <row r="50" spans="1:10" x14ac:dyDescent="0.25">
      <c r="A50" s="21" t="s">
        <v>76</v>
      </c>
      <c r="B50" s="21"/>
      <c r="C50" s="17">
        <v>321.66000000000003</v>
      </c>
      <c r="D50" s="17">
        <v>335.74</v>
      </c>
      <c r="E50" s="17">
        <v>300.02</v>
      </c>
      <c r="F50" s="17">
        <v>295.08</v>
      </c>
      <c r="G50" s="17">
        <f>12/12*C50</f>
        <v>321.66000000000003</v>
      </c>
      <c r="H50" s="9"/>
      <c r="I50" s="10"/>
      <c r="J50" s="10"/>
    </row>
    <row r="51" spans="1:10" x14ac:dyDescent="0.25">
      <c r="A51" s="21" t="s">
        <v>77</v>
      </c>
      <c r="B51" s="21"/>
      <c r="C51" s="17">
        <v>227.12</v>
      </c>
      <c r="D51" s="17">
        <v>220.04</v>
      </c>
      <c r="E51" s="17">
        <v>120.96</v>
      </c>
      <c r="F51" s="17">
        <v>83.12</v>
      </c>
      <c r="G51" s="17">
        <f>12/12*C51</f>
        <v>227.12</v>
      </c>
      <c r="H51" s="9"/>
      <c r="I51" s="10"/>
      <c r="J51" s="10"/>
    </row>
    <row r="52" spans="1:10" x14ac:dyDescent="0.25">
      <c r="C52" s="9"/>
      <c r="D52" s="9"/>
      <c r="E52" s="9"/>
      <c r="F52" s="9"/>
      <c r="G52" s="9"/>
      <c r="H52" s="9"/>
      <c r="I52" s="10"/>
      <c r="J52" s="10"/>
    </row>
    <row r="53" spans="1:10" x14ac:dyDescent="0.25">
      <c r="C53" s="9"/>
      <c r="D53" s="9"/>
      <c r="E53" s="9"/>
      <c r="F53" s="9"/>
      <c r="G53" s="9"/>
      <c r="H53" s="9"/>
      <c r="I53" s="10"/>
      <c r="J53" s="10"/>
    </row>
    <row r="54" spans="1:10" x14ac:dyDescent="0.25">
      <c r="A54" s="22" t="s">
        <v>61</v>
      </c>
      <c r="B54" s="23"/>
      <c r="C54" s="9"/>
      <c r="D54" s="9"/>
      <c r="E54" s="9"/>
      <c r="F54" s="9"/>
      <c r="G54" s="9"/>
      <c r="H54" s="9"/>
      <c r="I54" s="10"/>
      <c r="J54" s="10"/>
    </row>
    <row r="55" spans="1:10" x14ac:dyDescent="0.25">
      <c r="A55" s="3" t="s">
        <v>78</v>
      </c>
      <c r="B55" s="1" t="s">
        <v>286</v>
      </c>
      <c r="C55" s="9"/>
      <c r="D55" s="9"/>
      <c r="E55" s="9"/>
      <c r="F55" s="9"/>
      <c r="G55" s="9"/>
      <c r="H55" s="9"/>
      <c r="I55" s="10"/>
      <c r="J55" s="10"/>
    </row>
    <row r="56" spans="1:10" x14ac:dyDescent="0.25">
      <c r="A56" s="3" t="s">
        <v>71</v>
      </c>
      <c r="B56" s="1" t="s">
        <v>80</v>
      </c>
      <c r="C56" s="9"/>
      <c r="D56" s="9"/>
      <c r="E56" s="9"/>
      <c r="F56" s="9"/>
      <c r="G56" s="9"/>
      <c r="H56" s="9"/>
      <c r="I56" s="10"/>
      <c r="J56" s="10"/>
    </row>
    <row r="57" spans="1:10" x14ac:dyDescent="0.25">
      <c r="A57" s="3" t="s">
        <v>72</v>
      </c>
      <c r="B57" s="1" t="s">
        <v>81</v>
      </c>
      <c r="C57" s="9"/>
      <c r="D57" s="9"/>
      <c r="E57" s="9"/>
      <c r="F57" s="9"/>
      <c r="G57" s="9"/>
      <c r="H57" s="9"/>
      <c r="I57" s="10"/>
      <c r="J57" s="10"/>
    </row>
    <row r="58" spans="1:10" x14ac:dyDescent="0.25">
      <c r="A58" s="3" t="s">
        <v>73</v>
      </c>
      <c r="B58" s="1" t="s">
        <v>82</v>
      </c>
      <c r="C58" s="9"/>
      <c r="D58" s="9"/>
      <c r="E58" s="9"/>
      <c r="F58" s="9"/>
      <c r="G58" s="9"/>
      <c r="H58" s="9"/>
      <c r="I58" s="10"/>
      <c r="J58" s="10"/>
    </row>
    <row r="59" spans="1:10" x14ac:dyDescent="0.25">
      <c r="C59" s="9"/>
      <c r="D59" s="9"/>
      <c r="E59" s="9"/>
      <c r="F59" s="9"/>
      <c r="G59" s="9"/>
      <c r="H59" s="9"/>
      <c r="I59" s="10"/>
      <c r="J59" s="10"/>
    </row>
    <row r="60" spans="1:10" x14ac:dyDescent="0.25">
      <c r="C60" s="9"/>
      <c r="D60" s="9"/>
      <c r="E60" s="9"/>
      <c r="F60" s="9"/>
      <c r="G60" s="9"/>
      <c r="H60" s="9"/>
      <c r="I60" s="10"/>
      <c r="J60" s="10"/>
    </row>
    <row r="61" spans="1:10" x14ac:dyDescent="0.25">
      <c r="C61" s="9"/>
      <c r="D61" s="9"/>
      <c r="E61" s="9"/>
      <c r="F61" s="9"/>
      <c r="G61" s="9"/>
      <c r="H61" s="9"/>
      <c r="I61" s="10"/>
      <c r="J61" s="10"/>
    </row>
    <row r="62" spans="1:10" x14ac:dyDescent="0.25">
      <c r="C62" s="9"/>
      <c r="D62" s="9"/>
      <c r="E62" s="9"/>
      <c r="F62" s="9"/>
      <c r="G62" s="9"/>
      <c r="H62" s="9"/>
      <c r="I62" s="10"/>
      <c r="J62" s="10"/>
    </row>
    <row r="63" spans="1:10" x14ac:dyDescent="0.25">
      <c r="C63" s="9"/>
      <c r="D63" s="9"/>
      <c r="E63" s="9"/>
      <c r="F63" s="9"/>
      <c r="G63" s="9"/>
      <c r="H63" s="9"/>
      <c r="I63" s="10"/>
      <c r="J63" s="10"/>
    </row>
    <row r="64" spans="1:10" x14ac:dyDescent="0.25">
      <c r="C64" s="9"/>
      <c r="D64" s="9"/>
      <c r="E64" s="9"/>
      <c r="F64" s="9"/>
      <c r="G64" s="9"/>
      <c r="H64" s="9"/>
      <c r="I64" s="10"/>
      <c r="J64" s="10"/>
    </row>
    <row r="65" spans="3:10" x14ac:dyDescent="0.25">
      <c r="C65" s="9"/>
      <c r="D65" s="9"/>
      <c r="E65" s="9"/>
      <c r="F65" s="9"/>
      <c r="G65" s="9"/>
      <c r="H65" s="9"/>
      <c r="I65" s="10"/>
      <c r="J65" s="10"/>
    </row>
    <row r="66" spans="3:10" x14ac:dyDescent="0.25">
      <c r="C66" s="9"/>
      <c r="D66" s="9"/>
      <c r="E66" s="9"/>
      <c r="F66" s="9"/>
      <c r="G66" s="9"/>
      <c r="H66" s="9"/>
      <c r="I66" s="10"/>
      <c r="J66" s="10"/>
    </row>
    <row r="67" spans="3:10" x14ac:dyDescent="0.25">
      <c r="C67" s="9"/>
      <c r="D67" s="9"/>
      <c r="E67" s="9"/>
      <c r="F67" s="9"/>
      <c r="G67" s="9"/>
      <c r="H67" s="9"/>
      <c r="I67" s="10"/>
      <c r="J67" s="10"/>
    </row>
    <row r="68" spans="3:10" x14ac:dyDescent="0.25">
      <c r="C68" s="9"/>
      <c r="D68" s="9"/>
      <c r="E68" s="9"/>
      <c r="F68" s="9"/>
      <c r="G68" s="9"/>
      <c r="H68" s="9"/>
      <c r="I68" s="10"/>
      <c r="J68" s="10"/>
    </row>
    <row r="69" spans="3:10" x14ac:dyDescent="0.25">
      <c r="C69" s="9"/>
      <c r="D69" s="9"/>
      <c r="E69" s="9"/>
      <c r="F69" s="9"/>
      <c r="G69" s="9"/>
      <c r="H69" s="9"/>
      <c r="I69" s="10"/>
      <c r="J69" s="10"/>
    </row>
    <row r="70" spans="3:10" x14ac:dyDescent="0.25">
      <c r="C70" s="9"/>
      <c r="D70" s="9"/>
      <c r="E70" s="9"/>
      <c r="F70" s="9"/>
      <c r="G70" s="9"/>
      <c r="H70" s="9"/>
      <c r="I70" s="10"/>
      <c r="J70" s="10"/>
    </row>
  </sheetData>
  <mergeCells count="19">
    <mergeCell ref="C7:G7"/>
    <mergeCell ref="A27:B27"/>
    <mergeCell ref="A28:B28"/>
    <mergeCell ref="A33:B33"/>
    <mergeCell ref="A34:B34"/>
    <mergeCell ref="J42:J43"/>
    <mergeCell ref="A43:B43"/>
    <mergeCell ref="A47:B47"/>
    <mergeCell ref="A48:B48"/>
    <mergeCell ref="A35:B35"/>
    <mergeCell ref="A36:B36"/>
    <mergeCell ref="A41:B41"/>
    <mergeCell ref="A42:B42"/>
    <mergeCell ref="H42:H43"/>
    <mergeCell ref="A49:B49"/>
    <mergeCell ref="A50:B50"/>
    <mergeCell ref="A51:B51"/>
    <mergeCell ref="A54:B54"/>
    <mergeCell ref="I42:I43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J71"/>
  <sheetViews>
    <sheetView workbookViewId="0">
      <selection activeCell="H5" sqref="H5"/>
    </sheetView>
  </sheetViews>
  <sheetFormatPr defaultRowHeight="15" x14ac:dyDescent="0.25"/>
  <cols>
    <col min="1" max="1" width="28.42578125" bestFit="1" customWidth="1"/>
    <col min="2" max="2" width="59.5703125" bestFit="1" customWidth="1"/>
    <col min="3" max="3" width="12.7109375" bestFit="1" customWidth="1"/>
    <col min="4" max="4" width="23.5703125" bestFit="1" customWidth="1"/>
    <col min="5" max="5" width="13.85546875" bestFit="1" customWidth="1"/>
    <col min="6" max="6" width="8.5703125" bestFit="1" customWidth="1"/>
    <col min="7" max="7" width="47.7109375" bestFit="1" customWidth="1"/>
    <col min="8" max="9" width="16.7109375" bestFit="1" customWidth="1"/>
    <col min="10" max="10" width="24.42578125" bestFit="1" customWidth="1"/>
  </cols>
  <sheetData>
    <row r="2" spans="1:10" ht="18.75" x14ac:dyDescent="0.3">
      <c r="A2" s="3" t="s">
        <v>0</v>
      </c>
      <c r="B2" s="4" t="s">
        <v>287</v>
      </c>
    </row>
    <row r="3" spans="1:10" x14ac:dyDescent="0.25">
      <c r="A3" s="3" t="s">
        <v>2</v>
      </c>
      <c r="B3" s="1" t="s">
        <v>3</v>
      </c>
    </row>
    <row r="4" spans="1:10" x14ac:dyDescent="0.25">
      <c r="A4" s="3" t="s">
        <v>4</v>
      </c>
      <c r="B4" s="20">
        <v>373</v>
      </c>
    </row>
    <row r="7" spans="1:10" x14ac:dyDescent="0.25">
      <c r="C7" s="22" t="s">
        <v>5</v>
      </c>
      <c r="D7" s="21"/>
      <c r="E7" s="21"/>
      <c r="F7" s="21"/>
      <c r="G7" s="21"/>
    </row>
    <row r="8" spans="1:10" x14ac:dyDescent="0.25">
      <c r="A8" s="3" t="s">
        <v>6</v>
      </c>
      <c r="B8" s="3" t="s">
        <v>7</v>
      </c>
      <c r="C8" s="15" t="s">
        <v>8</v>
      </c>
      <c r="D8" s="15" t="s">
        <v>9</v>
      </c>
      <c r="E8" s="15" t="s">
        <v>10</v>
      </c>
      <c r="F8" s="15" t="s">
        <v>11</v>
      </c>
      <c r="G8" s="15" t="s">
        <v>12</v>
      </c>
      <c r="H8" s="15" t="s">
        <v>13</v>
      </c>
      <c r="I8" s="15" t="s">
        <v>14</v>
      </c>
      <c r="J8" s="15" t="s">
        <v>15</v>
      </c>
    </row>
    <row r="9" spans="1:10" x14ac:dyDescent="0.25">
      <c r="A9" s="1" t="s">
        <v>16</v>
      </c>
      <c r="B9" s="1" t="s">
        <v>17</v>
      </c>
      <c r="C9" s="11"/>
      <c r="D9" s="11"/>
      <c r="E9" s="11">
        <v>16</v>
      </c>
      <c r="F9" s="11"/>
      <c r="G9" s="11">
        <f t="shared" ref="G9:G38" si="0">SUM(C9:F9)</f>
        <v>16</v>
      </c>
      <c r="H9" s="17">
        <f t="shared" ref="H9:H38" si="1">ROUND(G9/373,2)</f>
        <v>0.04</v>
      </c>
      <c r="I9" s="16">
        <f t="shared" ref="I9:I38" si="2">ROUND(G9/$G$39,3)</f>
        <v>0</v>
      </c>
      <c r="J9" s="16">
        <f>ROUND(G9/8-1,2)</f>
        <v>1</v>
      </c>
    </row>
    <row r="10" spans="1:10" x14ac:dyDescent="0.25">
      <c r="A10" s="1" t="s">
        <v>16</v>
      </c>
      <c r="B10" s="1" t="s">
        <v>19</v>
      </c>
      <c r="C10" s="11">
        <v>20990</v>
      </c>
      <c r="D10" s="11"/>
      <c r="E10" s="11">
        <v>2017</v>
      </c>
      <c r="F10" s="11"/>
      <c r="G10" s="11">
        <f t="shared" si="0"/>
        <v>23007</v>
      </c>
      <c r="H10" s="17">
        <f t="shared" si="1"/>
        <v>61.68</v>
      </c>
      <c r="I10" s="16">
        <f t="shared" si="2"/>
        <v>0.1</v>
      </c>
      <c r="J10" s="16">
        <f>ROUND(G10/24863-1,2)</f>
        <v>-7.0000000000000007E-2</v>
      </c>
    </row>
    <row r="11" spans="1:10" x14ac:dyDescent="0.25">
      <c r="A11" s="1" t="s">
        <v>16</v>
      </c>
      <c r="B11" s="1" t="s">
        <v>20</v>
      </c>
      <c r="C11" s="11">
        <v>27450</v>
      </c>
      <c r="D11" s="11"/>
      <c r="E11" s="11"/>
      <c r="F11" s="11"/>
      <c r="G11" s="11">
        <f t="shared" si="0"/>
        <v>27450</v>
      </c>
      <c r="H11" s="17">
        <f t="shared" si="1"/>
        <v>73.59</v>
      </c>
      <c r="I11" s="16">
        <f t="shared" si="2"/>
        <v>0.11899999999999999</v>
      </c>
      <c r="J11" s="16">
        <f>ROUND(G11/24270-1,2)</f>
        <v>0.13</v>
      </c>
    </row>
    <row r="12" spans="1:10" x14ac:dyDescent="0.25">
      <c r="A12" s="1" t="s">
        <v>16</v>
      </c>
      <c r="B12" s="1" t="s">
        <v>21</v>
      </c>
      <c r="C12" s="11"/>
      <c r="D12" s="11"/>
      <c r="E12" s="11">
        <v>48</v>
      </c>
      <c r="F12" s="11"/>
      <c r="G12" s="11">
        <f t="shared" si="0"/>
        <v>48</v>
      </c>
      <c r="H12" s="17">
        <f t="shared" si="1"/>
        <v>0.13</v>
      </c>
      <c r="I12" s="16">
        <f t="shared" si="2"/>
        <v>0</v>
      </c>
      <c r="J12" s="16">
        <f>ROUND(G12/40-1,2)</f>
        <v>0.2</v>
      </c>
    </row>
    <row r="13" spans="1:10" x14ac:dyDescent="0.25">
      <c r="A13" s="1" t="s">
        <v>16</v>
      </c>
      <c r="B13" s="1" t="s">
        <v>22</v>
      </c>
      <c r="C13" s="11"/>
      <c r="D13" s="11"/>
      <c r="E13" s="11">
        <v>310</v>
      </c>
      <c r="F13" s="11"/>
      <c r="G13" s="11">
        <f t="shared" si="0"/>
        <v>310</v>
      </c>
      <c r="H13" s="17">
        <f t="shared" si="1"/>
        <v>0.83</v>
      </c>
      <c r="I13" s="16">
        <f t="shared" si="2"/>
        <v>1E-3</v>
      </c>
      <c r="J13" s="16">
        <f>ROUND(G13/456-1,2)</f>
        <v>-0.32</v>
      </c>
    </row>
    <row r="14" spans="1:10" x14ac:dyDescent="0.25">
      <c r="A14" s="1" t="s">
        <v>16</v>
      </c>
      <c r="B14" s="1" t="s">
        <v>23</v>
      </c>
      <c r="C14" s="11"/>
      <c r="D14" s="11"/>
      <c r="E14" s="11">
        <v>29240</v>
      </c>
      <c r="F14" s="11"/>
      <c r="G14" s="11">
        <f t="shared" si="0"/>
        <v>29240</v>
      </c>
      <c r="H14" s="17">
        <f t="shared" si="1"/>
        <v>78.39</v>
      </c>
      <c r="I14" s="16">
        <f t="shared" si="2"/>
        <v>0.127</v>
      </c>
      <c r="J14" s="16">
        <f>ROUND(G14/22235-1,2)</f>
        <v>0.32</v>
      </c>
    </row>
    <row r="15" spans="1:10" x14ac:dyDescent="0.25">
      <c r="A15" s="1" t="s">
        <v>16</v>
      </c>
      <c r="B15" s="1" t="s">
        <v>24</v>
      </c>
      <c r="C15" s="11">
        <v>23890</v>
      </c>
      <c r="D15" s="11"/>
      <c r="E15" s="11">
        <v>3881</v>
      </c>
      <c r="F15" s="11"/>
      <c r="G15" s="11">
        <f t="shared" si="0"/>
        <v>27771</v>
      </c>
      <c r="H15" s="17">
        <f t="shared" si="1"/>
        <v>74.45</v>
      </c>
      <c r="I15" s="16">
        <f t="shared" si="2"/>
        <v>0.12</v>
      </c>
      <c r="J15" s="16">
        <f>ROUND(G15/30102-1,2)</f>
        <v>-0.08</v>
      </c>
    </row>
    <row r="16" spans="1:10" x14ac:dyDescent="0.25">
      <c r="A16" s="1" t="s">
        <v>16</v>
      </c>
      <c r="B16" s="1" t="s">
        <v>25</v>
      </c>
      <c r="C16" s="11"/>
      <c r="D16" s="11"/>
      <c r="E16" s="11">
        <v>907</v>
      </c>
      <c r="F16" s="11"/>
      <c r="G16" s="11">
        <f t="shared" si="0"/>
        <v>907</v>
      </c>
      <c r="H16" s="17">
        <f t="shared" si="1"/>
        <v>2.4300000000000002</v>
      </c>
      <c r="I16" s="16">
        <f t="shared" si="2"/>
        <v>4.0000000000000001E-3</v>
      </c>
      <c r="J16" s="16">
        <f>ROUND(G16/670-1,2)</f>
        <v>0.35</v>
      </c>
    </row>
    <row r="17" spans="1:10" x14ac:dyDescent="0.25">
      <c r="A17" s="1" t="s">
        <v>16</v>
      </c>
      <c r="B17" s="1" t="s">
        <v>26</v>
      </c>
      <c r="C17" s="11">
        <v>21120</v>
      </c>
      <c r="D17" s="11"/>
      <c r="E17" s="11"/>
      <c r="F17" s="11"/>
      <c r="G17" s="11">
        <f t="shared" si="0"/>
        <v>21120</v>
      </c>
      <c r="H17" s="17">
        <f t="shared" si="1"/>
        <v>56.62</v>
      </c>
      <c r="I17" s="16">
        <f t="shared" si="2"/>
        <v>9.1999999999999998E-2</v>
      </c>
      <c r="J17" s="16">
        <f>ROUND(G17/26020-1,2)</f>
        <v>-0.19</v>
      </c>
    </row>
    <row r="18" spans="1:10" x14ac:dyDescent="0.25">
      <c r="A18" s="1" t="s">
        <v>16</v>
      </c>
      <c r="B18" s="1" t="s">
        <v>27</v>
      </c>
      <c r="C18" s="11"/>
      <c r="D18" s="11"/>
      <c r="E18" s="11">
        <v>209</v>
      </c>
      <c r="F18" s="11"/>
      <c r="G18" s="11">
        <f t="shared" si="0"/>
        <v>209</v>
      </c>
      <c r="H18" s="17">
        <f t="shared" si="1"/>
        <v>0.56000000000000005</v>
      </c>
      <c r="I18" s="16">
        <f t="shared" si="2"/>
        <v>1E-3</v>
      </c>
      <c r="J18" s="16">
        <f>ROUND(G18/214-1,2)</f>
        <v>-0.02</v>
      </c>
    </row>
    <row r="19" spans="1:10" x14ac:dyDescent="0.25">
      <c r="A19" s="1" t="s">
        <v>16</v>
      </c>
      <c r="B19" s="1" t="s">
        <v>28</v>
      </c>
      <c r="C19" s="11"/>
      <c r="D19" s="11"/>
      <c r="E19" s="11">
        <v>91</v>
      </c>
      <c r="F19" s="11"/>
      <c r="G19" s="11">
        <f t="shared" si="0"/>
        <v>91</v>
      </c>
      <c r="H19" s="17">
        <f t="shared" si="1"/>
        <v>0.24</v>
      </c>
      <c r="I19" s="16">
        <f t="shared" si="2"/>
        <v>0</v>
      </c>
      <c r="J19" s="16">
        <f>ROUND(G19/115-1,2)</f>
        <v>-0.21</v>
      </c>
    </row>
    <row r="20" spans="1:10" x14ac:dyDescent="0.25">
      <c r="A20" s="1" t="s">
        <v>16</v>
      </c>
      <c r="B20" s="1" t="s">
        <v>29</v>
      </c>
      <c r="C20" s="11"/>
      <c r="D20" s="11"/>
      <c r="E20" s="11">
        <v>21</v>
      </c>
      <c r="F20" s="11"/>
      <c r="G20" s="11">
        <f t="shared" si="0"/>
        <v>21</v>
      </c>
      <c r="H20" s="17">
        <f t="shared" si="1"/>
        <v>0.06</v>
      </c>
      <c r="I20" s="16">
        <f t="shared" si="2"/>
        <v>0</v>
      </c>
      <c r="J20" s="16"/>
    </row>
    <row r="21" spans="1:10" x14ac:dyDescent="0.25">
      <c r="A21" s="1" t="s">
        <v>16</v>
      </c>
      <c r="B21" s="1" t="s">
        <v>30</v>
      </c>
      <c r="C21" s="11"/>
      <c r="D21" s="11"/>
      <c r="E21" s="11">
        <v>768</v>
      </c>
      <c r="F21" s="11"/>
      <c r="G21" s="11">
        <f t="shared" si="0"/>
        <v>768</v>
      </c>
      <c r="H21" s="17">
        <f t="shared" si="1"/>
        <v>2.06</v>
      </c>
      <c r="I21" s="16">
        <f t="shared" si="2"/>
        <v>3.0000000000000001E-3</v>
      </c>
      <c r="J21" s="16">
        <f>ROUND(G21/1033-1,2)</f>
        <v>-0.26</v>
      </c>
    </row>
    <row r="22" spans="1:10" x14ac:dyDescent="0.25">
      <c r="A22" s="1" t="s">
        <v>16</v>
      </c>
      <c r="B22" s="1" t="s">
        <v>31</v>
      </c>
      <c r="C22" s="11"/>
      <c r="D22" s="11"/>
      <c r="E22" s="11">
        <v>80</v>
      </c>
      <c r="F22" s="11"/>
      <c r="G22" s="11">
        <f t="shared" si="0"/>
        <v>80</v>
      </c>
      <c r="H22" s="17">
        <f t="shared" si="1"/>
        <v>0.21</v>
      </c>
      <c r="I22" s="16">
        <f t="shared" si="2"/>
        <v>0</v>
      </c>
      <c r="J22" s="16">
        <f>ROUND(G22/115-1,2)</f>
        <v>-0.3</v>
      </c>
    </row>
    <row r="23" spans="1:10" x14ac:dyDescent="0.25">
      <c r="A23" s="1" t="s">
        <v>16</v>
      </c>
      <c r="B23" s="1" t="s">
        <v>33</v>
      </c>
      <c r="C23" s="11"/>
      <c r="D23" s="11"/>
      <c r="E23" s="11">
        <v>330</v>
      </c>
      <c r="F23" s="11"/>
      <c r="G23" s="11">
        <f t="shared" si="0"/>
        <v>330</v>
      </c>
      <c r="H23" s="17">
        <f t="shared" si="1"/>
        <v>0.88</v>
      </c>
      <c r="I23" s="16">
        <f t="shared" si="2"/>
        <v>1E-3</v>
      </c>
      <c r="J23" s="16">
        <f>ROUND(G23/408-1,2)</f>
        <v>-0.19</v>
      </c>
    </row>
    <row r="24" spans="1:10" x14ac:dyDescent="0.25">
      <c r="A24" s="1" t="s">
        <v>16</v>
      </c>
      <c r="B24" s="1" t="s">
        <v>34</v>
      </c>
      <c r="C24" s="11"/>
      <c r="D24" s="11"/>
      <c r="E24" s="11">
        <v>21</v>
      </c>
      <c r="F24" s="11"/>
      <c r="G24" s="11">
        <f t="shared" si="0"/>
        <v>21</v>
      </c>
      <c r="H24" s="17">
        <f t="shared" si="1"/>
        <v>0.06</v>
      </c>
      <c r="I24" s="16">
        <f t="shared" si="2"/>
        <v>0</v>
      </c>
      <c r="J24" s="16">
        <f>ROUND(G24/50-1,2)</f>
        <v>-0.57999999999999996</v>
      </c>
    </row>
    <row r="25" spans="1:10" x14ac:dyDescent="0.25">
      <c r="A25" s="1" t="s">
        <v>16</v>
      </c>
      <c r="B25" s="1" t="s">
        <v>35</v>
      </c>
      <c r="C25" s="11"/>
      <c r="D25" s="11"/>
      <c r="E25" s="11">
        <v>382</v>
      </c>
      <c r="F25" s="11"/>
      <c r="G25" s="11">
        <f t="shared" si="0"/>
        <v>382</v>
      </c>
      <c r="H25" s="17">
        <f t="shared" si="1"/>
        <v>1.02</v>
      </c>
      <c r="I25" s="16">
        <f t="shared" si="2"/>
        <v>2E-3</v>
      </c>
      <c r="J25" s="16">
        <f>ROUND(G25/54-1,2)</f>
        <v>6.07</v>
      </c>
    </row>
    <row r="26" spans="1:10" x14ac:dyDescent="0.25">
      <c r="A26" s="1" t="s">
        <v>16</v>
      </c>
      <c r="B26" s="1" t="s">
        <v>37</v>
      </c>
      <c r="C26" s="11"/>
      <c r="D26" s="11"/>
      <c r="E26" s="11">
        <v>420</v>
      </c>
      <c r="F26" s="11"/>
      <c r="G26" s="11">
        <f t="shared" si="0"/>
        <v>420</v>
      </c>
      <c r="H26" s="17">
        <f t="shared" si="1"/>
        <v>1.1299999999999999</v>
      </c>
      <c r="I26" s="16">
        <f t="shared" si="2"/>
        <v>2E-3</v>
      </c>
      <c r="J26" s="16">
        <f>ROUND(G26/413-1,2)</f>
        <v>0.02</v>
      </c>
    </row>
    <row r="27" spans="1:10" x14ac:dyDescent="0.25">
      <c r="A27" s="1" t="s">
        <v>16</v>
      </c>
      <c r="B27" s="1" t="s">
        <v>39</v>
      </c>
      <c r="C27" s="11"/>
      <c r="D27" s="11"/>
      <c r="E27" s="11">
        <v>1353</v>
      </c>
      <c r="F27" s="11"/>
      <c r="G27" s="11">
        <f t="shared" si="0"/>
        <v>1353</v>
      </c>
      <c r="H27" s="17">
        <f t="shared" si="1"/>
        <v>3.63</v>
      </c>
      <c r="I27" s="16">
        <f t="shared" si="2"/>
        <v>6.0000000000000001E-3</v>
      </c>
      <c r="J27" s="16">
        <f>ROUND(G27/1203-1,2)</f>
        <v>0.12</v>
      </c>
    </row>
    <row r="28" spans="1:10" x14ac:dyDescent="0.25">
      <c r="A28" s="1" t="s">
        <v>16</v>
      </c>
      <c r="B28" s="1" t="s">
        <v>38</v>
      </c>
      <c r="C28" s="11"/>
      <c r="D28" s="11"/>
      <c r="E28" s="11">
        <v>848</v>
      </c>
      <c r="F28" s="11"/>
      <c r="G28" s="11">
        <f t="shared" si="0"/>
        <v>848</v>
      </c>
      <c r="H28" s="17">
        <f t="shared" si="1"/>
        <v>2.27</v>
      </c>
      <c r="I28" s="16">
        <f t="shared" si="2"/>
        <v>4.0000000000000001E-3</v>
      </c>
      <c r="J28" s="16">
        <f>ROUND(G28/1367-1,2)</f>
        <v>-0.38</v>
      </c>
    </row>
    <row r="29" spans="1:10" x14ac:dyDescent="0.25">
      <c r="A29" s="1" t="s">
        <v>16</v>
      </c>
      <c r="B29" s="1" t="s">
        <v>40</v>
      </c>
      <c r="C29" s="11"/>
      <c r="D29" s="11"/>
      <c r="E29" s="11">
        <v>15875</v>
      </c>
      <c r="F29" s="11"/>
      <c r="G29" s="11">
        <f t="shared" si="0"/>
        <v>15875</v>
      </c>
      <c r="H29" s="17">
        <f t="shared" si="1"/>
        <v>42.56</v>
      </c>
      <c r="I29" s="16">
        <f t="shared" si="2"/>
        <v>6.9000000000000006E-2</v>
      </c>
      <c r="J29" s="16">
        <f>ROUND(G29/13416-1,2)</f>
        <v>0.18</v>
      </c>
    </row>
    <row r="30" spans="1:10" x14ac:dyDescent="0.25">
      <c r="A30" s="1" t="s">
        <v>16</v>
      </c>
      <c r="B30" s="1" t="s">
        <v>42</v>
      </c>
      <c r="C30" s="11"/>
      <c r="D30" s="11"/>
      <c r="E30" s="11">
        <v>4910</v>
      </c>
      <c r="F30" s="11"/>
      <c r="G30" s="11">
        <f t="shared" si="0"/>
        <v>4910</v>
      </c>
      <c r="H30" s="17">
        <f t="shared" si="1"/>
        <v>13.16</v>
      </c>
      <c r="I30" s="16">
        <f t="shared" si="2"/>
        <v>2.1000000000000001E-2</v>
      </c>
      <c r="J30" s="16">
        <f>ROUND(G30/4949-1,2)</f>
        <v>-0.01</v>
      </c>
    </row>
    <row r="31" spans="1:10" x14ac:dyDescent="0.25">
      <c r="A31" s="1" t="s">
        <v>16</v>
      </c>
      <c r="B31" s="1" t="s">
        <v>44</v>
      </c>
      <c r="C31" s="11"/>
      <c r="D31" s="11"/>
      <c r="E31" s="11">
        <v>1884</v>
      </c>
      <c r="F31" s="11"/>
      <c r="G31" s="11">
        <f t="shared" si="0"/>
        <v>1884</v>
      </c>
      <c r="H31" s="17">
        <f t="shared" si="1"/>
        <v>5.05</v>
      </c>
      <c r="I31" s="16">
        <f t="shared" si="2"/>
        <v>8.0000000000000002E-3</v>
      </c>
      <c r="J31" s="16">
        <f>ROUND(G31/1792-1,2)</f>
        <v>0.05</v>
      </c>
    </row>
    <row r="32" spans="1:10" x14ac:dyDescent="0.25">
      <c r="A32" s="1" t="s">
        <v>16</v>
      </c>
      <c r="B32" s="1" t="s">
        <v>32</v>
      </c>
      <c r="C32" s="11"/>
      <c r="D32" s="11"/>
      <c r="E32" s="11"/>
      <c r="F32" s="11"/>
      <c r="G32" s="11">
        <f t="shared" si="0"/>
        <v>0</v>
      </c>
      <c r="H32" s="17">
        <f t="shared" si="1"/>
        <v>0</v>
      </c>
      <c r="I32" s="16">
        <f t="shared" si="2"/>
        <v>0</v>
      </c>
      <c r="J32" s="16">
        <f>ROUND(G32/130-1,2)</f>
        <v>-1</v>
      </c>
    </row>
    <row r="33" spans="1:10" x14ac:dyDescent="0.25">
      <c r="A33" s="1" t="s">
        <v>16</v>
      </c>
      <c r="B33" s="1" t="s">
        <v>36</v>
      </c>
      <c r="C33" s="11"/>
      <c r="D33" s="11"/>
      <c r="E33" s="11"/>
      <c r="F33" s="11"/>
      <c r="G33" s="11">
        <f t="shared" si="0"/>
        <v>0</v>
      </c>
      <c r="H33" s="17">
        <f t="shared" si="1"/>
        <v>0</v>
      </c>
      <c r="I33" s="16">
        <f t="shared" si="2"/>
        <v>0</v>
      </c>
      <c r="J33" s="16">
        <f>ROUND(G33/54-1,2)</f>
        <v>-1</v>
      </c>
    </row>
    <row r="34" spans="1:10" x14ac:dyDescent="0.25">
      <c r="A34" s="1" t="s">
        <v>16</v>
      </c>
      <c r="B34" s="1" t="s">
        <v>41</v>
      </c>
      <c r="C34" s="11"/>
      <c r="D34" s="11"/>
      <c r="E34" s="11"/>
      <c r="F34" s="11"/>
      <c r="G34" s="11">
        <f t="shared" si="0"/>
        <v>0</v>
      </c>
      <c r="H34" s="17">
        <f t="shared" si="1"/>
        <v>0</v>
      </c>
      <c r="I34" s="16">
        <f t="shared" si="2"/>
        <v>0</v>
      </c>
      <c r="J34" s="16"/>
    </row>
    <row r="35" spans="1:10" x14ac:dyDescent="0.25">
      <c r="A35" s="1" t="s">
        <v>45</v>
      </c>
      <c r="B35" s="1" t="s">
        <v>46</v>
      </c>
      <c r="C35" s="11">
        <v>66270</v>
      </c>
      <c r="D35" s="11"/>
      <c r="E35" s="11"/>
      <c r="F35" s="11">
        <v>200</v>
      </c>
      <c r="G35" s="11">
        <f t="shared" si="0"/>
        <v>66470</v>
      </c>
      <c r="H35" s="17">
        <f t="shared" si="1"/>
        <v>178.2</v>
      </c>
      <c r="I35" s="16">
        <f t="shared" si="2"/>
        <v>0.28799999999999998</v>
      </c>
      <c r="J35" s="16">
        <f>ROUND(G35/70910-1,2)</f>
        <v>-0.06</v>
      </c>
    </row>
    <row r="36" spans="1:10" x14ac:dyDescent="0.25">
      <c r="A36" s="1" t="s">
        <v>45</v>
      </c>
      <c r="B36" s="1" t="s">
        <v>47</v>
      </c>
      <c r="C36" s="11"/>
      <c r="D36" s="11"/>
      <c r="E36" s="11">
        <v>7154</v>
      </c>
      <c r="F36" s="11"/>
      <c r="G36" s="11">
        <f t="shared" si="0"/>
        <v>7154</v>
      </c>
      <c r="H36" s="17">
        <f t="shared" si="1"/>
        <v>19.18</v>
      </c>
      <c r="I36" s="16">
        <f t="shared" si="2"/>
        <v>3.1E-2</v>
      </c>
      <c r="J36" s="16">
        <f>ROUND(G36/7360-1,2)</f>
        <v>-0.03</v>
      </c>
    </row>
    <row r="37" spans="1:10" x14ac:dyDescent="0.25">
      <c r="A37" s="1" t="s">
        <v>45</v>
      </c>
      <c r="B37" s="1" t="s">
        <v>48</v>
      </c>
      <c r="C37" s="11"/>
      <c r="D37" s="11"/>
      <c r="E37" s="11"/>
      <c r="F37" s="11"/>
      <c r="G37" s="11">
        <f t="shared" si="0"/>
        <v>0</v>
      </c>
      <c r="H37" s="17">
        <f t="shared" si="1"/>
        <v>0</v>
      </c>
      <c r="I37" s="16">
        <f t="shared" si="2"/>
        <v>0</v>
      </c>
      <c r="J37" s="16"/>
    </row>
    <row r="38" spans="1:10" x14ac:dyDescent="0.25">
      <c r="A38" s="1" t="s">
        <v>49</v>
      </c>
      <c r="B38" s="1" t="s">
        <v>52</v>
      </c>
      <c r="C38" s="11"/>
      <c r="D38" s="11"/>
      <c r="E38" s="11"/>
      <c r="F38" s="11"/>
      <c r="G38" s="11">
        <f t="shared" si="0"/>
        <v>0</v>
      </c>
      <c r="H38" s="17">
        <f t="shared" si="1"/>
        <v>0</v>
      </c>
      <c r="I38" s="16">
        <f t="shared" si="2"/>
        <v>0</v>
      </c>
      <c r="J38" s="16"/>
    </row>
    <row r="39" spans="1:10" x14ac:dyDescent="0.25">
      <c r="A39" s="26" t="s">
        <v>12</v>
      </c>
      <c r="B39" s="26"/>
      <c r="C39" s="12">
        <f t="shared" ref="C39:H39" si="3">SUM(C8:C38)</f>
        <v>159720</v>
      </c>
      <c r="D39" s="12">
        <f t="shared" si="3"/>
        <v>0</v>
      </c>
      <c r="E39" s="12">
        <f t="shared" si="3"/>
        <v>70765</v>
      </c>
      <c r="F39" s="12">
        <f t="shared" si="3"/>
        <v>200</v>
      </c>
      <c r="G39" s="12">
        <f t="shared" si="3"/>
        <v>230685</v>
      </c>
      <c r="H39" s="15">
        <f t="shared" si="3"/>
        <v>618.42999999999995</v>
      </c>
      <c r="I39" s="18"/>
      <c r="J39" s="18"/>
    </row>
    <row r="40" spans="1:10" x14ac:dyDescent="0.25">
      <c r="A40" s="26" t="s">
        <v>14</v>
      </c>
      <c r="B40" s="26"/>
      <c r="C40" s="13">
        <f>ROUND(C39/G39,2)</f>
        <v>0.69</v>
      </c>
      <c r="D40" s="13">
        <f>ROUND(D39/G39,2)</f>
        <v>0</v>
      </c>
      <c r="E40" s="13">
        <f>ROUND(E39/G39,2)</f>
        <v>0.31</v>
      </c>
      <c r="F40" s="13">
        <f>ROUND(F39/G39,2)</f>
        <v>0</v>
      </c>
      <c r="G40" s="14"/>
      <c r="H40" s="14"/>
      <c r="I40" s="18"/>
      <c r="J40" s="18"/>
    </row>
    <row r="41" spans="1:10" x14ac:dyDescent="0.25">
      <c r="A41" s="2" t="s">
        <v>53</v>
      </c>
      <c r="B41" s="2"/>
      <c r="C41" s="14"/>
      <c r="D41" s="14"/>
      <c r="E41" s="14"/>
      <c r="F41" s="14"/>
      <c r="G41" s="14"/>
      <c r="H41" s="14"/>
      <c r="I41" s="18"/>
      <c r="J41" s="18"/>
    </row>
    <row r="42" spans="1:10" x14ac:dyDescent="0.25">
      <c r="C42" s="9"/>
      <c r="D42" s="9"/>
      <c r="E42" s="9"/>
      <c r="F42" s="9"/>
      <c r="G42" s="9"/>
      <c r="H42" s="9"/>
      <c r="I42" s="10"/>
      <c r="J42" s="10"/>
    </row>
    <row r="43" spans="1:10" x14ac:dyDescent="0.25">
      <c r="C43" s="9"/>
      <c r="D43" s="9"/>
      <c r="E43" s="9"/>
      <c r="F43" s="9"/>
      <c r="G43" s="9"/>
      <c r="H43" s="9"/>
      <c r="I43" s="10"/>
      <c r="J43" s="10"/>
    </row>
    <row r="44" spans="1:10" x14ac:dyDescent="0.25">
      <c r="C44" s="9"/>
      <c r="D44" s="9"/>
      <c r="E44" s="9"/>
      <c r="F44" s="9"/>
      <c r="G44" s="9"/>
      <c r="H44" s="9"/>
      <c r="I44" s="10"/>
      <c r="J44" s="10"/>
    </row>
    <row r="45" spans="1:10" x14ac:dyDescent="0.25">
      <c r="A45" s="26" t="s">
        <v>54</v>
      </c>
      <c r="B45" s="26"/>
      <c r="C45" s="12" t="s">
        <v>8</v>
      </c>
      <c r="D45" s="12" t="s">
        <v>9</v>
      </c>
      <c r="E45" s="12" t="s">
        <v>10</v>
      </c>
      <c r="F45" s="12" t="s">
        <v>11</v>
      </c>
      <c r="G45" s="12" t="s">
        <v>12</v>
      </c>
      <c r="H45" s="15" t="s">
        <v>13</v>
      </c>
      <c r="I45" s="18"/>
      <c r="J45" s="18"/>
    </row>
    <row r="46" spans="1:10" x14ac:dyDescent="0.25">
      <c r="A46" s="21" t="s">
        <v>55</v>
      </c>
      <c r="B46" s="21"/>
      <c r="C46" s="11">
        <v>93450</v>
      </c>
      <c r="D46" s="11">
        <v>0</v>
      </c>
      <c r="E46" s="11">
        <v>63611</v>
      </c>
      <c r="F46" s="11">
        <v>0</v>
      </c>
      <c r="G46" s="11">
        <f>SUM(C46:F46)</f>
        <v>157061</v>
      </c>
      <c r="H46" s="17">
        <f>ROUND(G46/373,2)</f>
        <v>421.08</v>
      </c>
      <c r="I46" s="10"/>
      <c r="J46" s="10"/>
    </row>
    <row r="47" spans="1:10" x14ac:dyDescent="0.25">
      <c r="A47" s="21" t="s">
        <v>56</v>
      </c>
      <c r="B47" s="21"/>
      <c r="C47" s="11">
        <v>66270</v>
      </c>
      <c r="D47" s="11">
        <v>0</v>
      </c>
      <c r="E47" s="11">
        <v>7154</v>
      </c>
      <c r="F47" s="11">
        <v>200</v>
      </c>
      <c r="G47" s="11">
        <f>SUM(C47:F47)</f>
        <v>73624</v>
      </c>
      <c r="H47" s="17">
        <f>ROUND(G47/373,2)</f>
        <v>197.38</v>
      </c>
      <c r="I47" s="10"/>
      <c r="J47" s="10"/>
    </row>
    <row r="48" spans="1:10" x14ac:dyDescent="0.25">
      <c r="A48" s="21" t="s">
        <v>57</v>
      </c>
      <c r="B48" s="21"/>
      <c r="C48" s="11">
        <v>0</v>
      </c>
      <c r="D48" s="11">
        <v>0</v>
      </c>
      <c r="E48" s="11">
        <v>0</v>
      </c>
      <c r="F48" s="11">
        <v>0</v>
      </c>
      <c r="G48" s="11">
        <f>SUM(C48:F48)</f>
        <v>0</v>
      </c>
      <c r="H48" s="17">
        <f>ROUND(G48/373,2)</f>
        <v>0</v>
      </c>
      <c r="I48" s="10"/>
      <c r="J48" s="10"/>
    </row>
    <row r="49" spans="1:10" x14ac:dyDescent="0.25">
      <c r="C49" s="9"/>
      <c r="D49" s="9"/>
      <c r="E49" s="9"/>
      <c r="F49" s="9"/>
      <c r="G49" s="9"/>
      <c r="H49" s="9"/>
      <c r="I49" s="10"/>
      <c r="J49" s="10"/>
    </row>
    <row r="50" spans="1:10" x14ac:dyDescent="0.25">
      <c r="C50" s="9"/>
      <c r="D50" s="9"/>
      <c r="E50" s="9"/>
      <c r="F50" s="9"/>
      <c r="G50" s="9"/>
      <c r="H50" s="9"/>
      <c r="I50" s="10"/>
      <c r="J50" s="10"/>
    </row>
    <row r="51" spans="1:10" x14ac:dyDescent="0.25">
      <c r="C51" s="9"/>
      <c r="D51" s="9"/>
      <c r="E51" s="9"/>
      <c r="F51" s="9"/>
      <c r="G51" s="9"/>
      <c r="H51" s="9"/>
      <c r="I51" s="10"/>
      <c r="J51" s="10"/>
    </row>
    <row r="52" spans="1:10" x14ac:dyDescent="0.25">
      <c r="C52" s="9"/>
      <c r="D52" s="9"/>
      <c r="E52" s="9"/>
      <c r="F52" s="9"/>
      <c r="G52" s="9"/>
      <c r="H52" s="9"/>
      <c r="I52" s="10"/>
      <c r="J52" s="10"/>
    </row>
    <row r="53" spans="1:10" x14ac:dyDescent="0.25">
      <c r="A53" s="26" t="s">
        <v>58</v>
      </c>
      <c r="B53" s="26"/>
      <c r="C53" s="15" t="s">
        <v>2</v>
      </c>
      <c r="D53" s="15">
        <v>2024</v>
      </c>
      <c r="E53" s="15" t="s">
        <v>60</v>
      </c>
      <c r="F53" s="14"/>
      <c r="G53" s="15" t="s">
        <v>61</v>
      </c>
      <c r="H53" s="15" t="s">
        <v>2</v>
      </c>
      <c r="I53" s="13" t="s">
        <v>62</v>
      </c>
      <c r="J53" s="13" t="s">
        <v>60</v>
      </c>
    </row>
    <row r="54" spans="1:10" x14ac:dyDescent="0.25">
      <c r="A54" s="21" t="s">
        <v>59</v>
      </c>
      <c r="B54" s="21"/>
      <c r="C54" s="16">
        <f>ROUND(0.6696, 4)</f>
        <v>0.66959999999999997</v>
      </c>
      <c r="D54" s="16">
        <f>ROUND(0.6612, 4)</f>
        <v>0.66120000000000001</v>
      </c>
      <c r="E54" s="16">
        <f>ROUND(0.7856, 4)</f>
        <v>0.78559999999999997</v>
      </c>
      <c r="F54" s="9"/>
      <c r="G54" s="15" t="s">
        <v>63</v>
      </c>
      <c r="H54" s="27" t="s">
        <v>64</v>
      </c>
      <c r="I54" s="24" t="s">
        <v>65</v>
      </c>
      <c r="J54" s="24" t="s">
        <v>66</v>
      </c>
    </row>
    <row r="55" spans="1:10" x14ac:dyDescent="0.25">
      <c r="A55" s="21" t="s">
        <v>67</v>
      </c>
      <c r="B55" s="21"/>
      <c r="C55" s="16">
        <f>ROUND(0.6696, 4)</f>
        <v>0.66959999999999997</v>
      </c>
      <c r="D55" s="16">
        <f>ROUND(0.6167, 4)</f>
        <v>0.61670000000000003</v>
      </c>
      <c r="E55" s="16">
        <f>ROUND(0.7702, 4)</f>
        <v>0.7702</v>
      </c>
      <c r="F55" s="9"/>
      <c r="G55" s="15" t="s">
        <v>68</v>
      </c>
      <c r="H55" s="28"/>
      <c r="I55" s="25"/>
      <c r="J55" s="25"/>
    </row>
    <row r="56" spans="1:10" x14ac:dyDescent="0.25">
      <c r="C56" s="9"/>
      <c r="D56" s="9"/>
      <c r="E56" s="9"/>
      <c r="F56" s="9"/>
      <c r="G56" s="9"/>
      <c r="H56" s="9"/>
      <c r="I56" s="10"/>
      <c r="J56" s="10"/>
    </row>
    <row r="57" spans="1:10" x14ac:dyDescent="0.25">
      <c r="C57" s="9"/>
      <c r="D57" s="9"/>
      <c r="E57" s="9"/>
      <c r="F57" s="9"/>
      <c r="G57" s="9"/>
      <c r="H57" s="9"/>
      <c r="I57" s="10"/>
      <c r="J57" s="10"/>
    </row>
    <row r="58" spans="1:10" x14ac:dyDescent="0.25">
      <c r="C58" s="9"/>
      <c r="D58" s="9"/>
      <c r="E58" s="9"/>
      <c r="F58" s="9"/>
      <c r="G58" s="9"/>
      <c r="H58" s="9"/>
      <c r="I58" s="10"/>
      <c r="J58" s="10"/>
    </row>
    <row r="59" spans="1:10" x14ac:dyDescent="0.25">
      <c r="A59" s="26" t="s">
        <v>69</v>
      </c>
      <c r="B59" s="26"/>
      <c r="C59" s="15" t="s">
        <v>2</v>
      </c>
      <c r="D59" s="15" t="s">
        <v>288</v>
      </c>
      <c r="E59" s="15" t="s">
        <v>71</v>
      </c>
      <c r="F59" s="15" t="s">
        <v>72</v>
      </c>
      <c r="G59" s="15" t="s">
        <v>73</v>
      </c>
      <c r="H59" s="14"/>
      <c r="I59" s="18"/>
      <c r="J59" s="18"/>
    </row>
    <row r="60" spans="1:10" x14ac:dyDescent="0.25">
      <c r="A60" s="21" t="s">
        <v>74</v>
      </c>
      <c r="B60" s="21"/>
      <c r="C60" s="17">
        <v>178.2</v>
      </c>
      <c r="D60" s="17">
        <v>143.79</v>
      </c>
      <c r="E60" s="17">
        <v>96.15</v>
      </c>
      <c r="F60" s="17">
        <v>57.94</v>
      </c>
      <c r="G60" s="17">
        <f>12/12*C60</f>
        <v>178.2</v>
      </c>
      <c r="H60" s="9"/>
      <c r="I60" s="10"/>
      <c r="J60" s="10"/>
    </row>
    <row r="61" spans="1:10" x14ac:dyDescent="0.25">
      <c r="A61" s="21" t="s">
        <v>75</v>
      </c>
      <c r="B61" s="21"/>
      <c r="C61" s="17">
        <v>56.62</v>
      </c>
      <c r="D61" s="17">
        <v>57.48</v>
      </c>
      <c r="E61" s="17">
        <v>62.28</v>
      </c>
      <c r="F61" s="17">
        <v>66.599999999999994</v>
      </c>
      <c r="G61" s="17">
        <f>12/12*C61</f>
        <v>56.62</v>
      </c>
      <c r="H61" s="9"/>
      <c r="I61" s="10"/>
      <c r="J61" s="10"/>
    </row>
    <row r="62" spans="1:10" x14ac:dyDescent="0.25">
      <c r="A62" s="21" t="s">
        <v>76</v>
      </c>
      <c r="B62" s="21"/>
      <c r="C62" s="17">
        <v>421.08</v>
      </c>
      <c r="D62" s="17">
        <v>351.99</v>
      </c>
      <c r="E62" s="17">
        <v>300.02</v>
      </c>
      <c r="F62" s="17">
        <v>295.08</v>
      </c>
      <c r="G62" s="17">
        <f>12/12*C62</f>
        <v>421.08</v>
      </c>
      <c r="H62" s="9"/>
      <c r="I62" s="10"/>
      <c r="J62" s="10"/>
    </row>
    <row r="63" spans="1:10" x14ac:dyDescent="0.25">
      <c r="A63" s="21" t="s">
        <v>77</v>
      </c>
      <c r="B63" s="21"/>
      <c r="C63" s="17">
        <v>197.38</v>
      </c>
      <c r="D63" s="17">
        <v>191.43</v>
      </c>
      <c r="E63" s="17">
        <v>120.96</v>
      </c>
      <c r="F63" s="17">
        <v>83.12</v>
      </c>
      <c r="G63" s="17">
        <f>12/12*C63</f>
        <v>197.38</v>
      </c>
      <c r="H63" s="9"/>
      <c r="I63" s="10"/>
      <c r="J63" s="10"/>
    </row>
    <row r="64" spans="1:10" x14ac:dyDescent="0.25">
      <c r="C64" s="9"/>
      <c r="D64" s="9"/>
      <c r="E64" s="9"/>
      <c r="F64" s="9"/>
      <c r="G64" s="9"/>
      <c r="H64" s="9"/>
      <c r="I64" s="10"/>
      <c r="J64" s="10"/>
    </row>
    <row r="65" spans="1:10" x14ac:dyDescent="0.25">
      <c r="C65" s="9"/>
      <c r="D65" s="9"/>
      <c r="E65" s="9"/>
      <c r="F65" s="9"/>
      <c r="G65" s="9"/>
      <c r="H65" s="9"/>
      <c r="I65" s="10"/>
      <c r="J65" s="10"/>
    </row>
    <row r="66" spans="1:10" x14ac:dyDescent="0.25">
      <c r="A66" s="22" t="s">
        <v>61</v>
      </c>
      <c r="B66" s="23"/>
      <c r="C66" s="9"/>
      <c r="D66" s="9"/>
      <c r="E66" s="9"/>
      <c r="F66" s="9"/>
      <c r="G66" s="9"/>
      <c r="H66" s="9"/>
      <c r="I66" s="10"/>
      <c r="J66" s="10"/>
    </row>
    <row r="67" spans="1:10" x14ac:dyDescent="0.25">
      <c r="A67" s="3" t="s">
        <v>78</v>
      </c>
      <c r="B67" s="1" t="s">
        <v>289</v>
      </c>
      <c r="C67" s="9"/>
      <c r="D67" s="9"/>
      <c r="E67" s="9"/>
      <c r="F67" s="9"/>
      <c r="G67" s="9"/>
      <c r="H67" s="9"/>
      <c r="I67" s="10"/>
      <c r="J67" s="10"/>
    </row>
    <row r="68" spans="1:10" x14ac:dyDescent="0.25">
      <c r="A68" s="3" t="s">
        <v>71</v>
      </c>
      <c r="B68" s="1" t="s">
        <v>80</v>
      </c>
      <c r="C68" s="9"/>
      <c r="D68" s="9"/>
      <c r="E68" s="9"/>
      <c r="F68" s="9"/>
      <c r="G68" s="9"/>
      <c r="H68" s="9"/>
      <c r="I68" s="10"/>
      <c r="J68" s="10"/>
    </row>
    <row r="69" spans="1:10" x14ac:dyDescent="0.25">
      <c r="A69" s="3" t="s">
        <v>72</v>
      </c>
      <c r="B69" s="1" t="s">
        <v>81</v>
      </c>
      <c r="C69" s="9"/>
      <c r="D69" s="9"/>
      <c r="E69" s="9"/>
      <c r="F69" s="9"/>
      <c r="G69" s="9"/>
      <c r="H69" s="9"/>
      <c r="I69" s="10"/>
      <c r="J69" s="10"/>
    </row>
    <row r="70" spans="1:10" x14ac:dyDescent="0.25">
      <c r="A70" s="3" t="s">
        <v>73</v>
      </c>
      <c r="B70" s="1" t="s">
        <v>82</v>
      </c>
      <c r="C70" s="9"/>
      <c r="D70" s="9"/>
      <c r="E70" s="9"/>
      <c r="F70" s="9"/>
      <c r="G70" s="9"/>
      <c r="H70" s="9"/>
      <c r="I70" s="10"/>
      <c r="J70" s="10"/>
    </row>
    <row r="71" spans="1:10" x14ac:dyDescent="0.25">
      <c r="C71" s="9"/>
      <c r="D71" s="9"/>
      <c r="E71" s="9"/>
      <c r="F71" s="9"/>
      <c r="G71" s="9"/>
      <c r="H71" s="9"/>
      <c r="I71" s="10"/>
      <c r="J71" s="10"/>
    </row>
  </sheetData>
  <mergeCells count="19">
    <mergeCell ref="C7:G7"/>
    <mergeCell ref="A39:B39"/>
    <mergeCell ref="A40:B40"/>
    <mergeCell ref="A45:B45"/>
    <mergeCell ref="A46:B46"/>
    <mergeCell ref="J54:J55"/>
    <mergeCell ref="A55:B55"/>
    <mergeCell ref="A59:B59"/>
    <mergeCell ref="A60:B60"/>
    <mergeCell ref="A47:B47"/>
    <mergeCell ref="A48:B48"/>
    <mergeCell ref="A53:B53"/>
    <mergeCell ref="A54:B54"/>
    <mergeCell ref="H54:H55"/>
    <mergeCell ref="A61:B61"/>
    <mergeCell ref="A62:B62"/>
    <mergeCell ref="A63:B63"/>
    <mergeCell ref="A66:B66"/>
    <mergeCell ref="I54:I55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J75"/>
  <sheetViews>
    <sheetView workbookViewId="0">
      <selection activeCell="H5" sqref="H5"/>
    </sheetView>
  </sheetViews>
  <sheetFormatPr defaultRowHeight="15" x14ac:dyDescent="0.25"/>
  <cols>
    <col min="1" max="1" width="28.42578125" bestFit="1" customWidth="1"/>
    <col min="2" max="2" width="59.5703125" bestFit="1" customWidth="1"/>
    <col min="3" max="3" width="12.7109375" bestFit="1" customWidth="1"/>
    <col min="4" max="4" width="28.5703125" bestFit="1" customWidth="1"/>
    <col min="5" max="5" width="13.85546875" bestFit="1" customWidth="1"/>
    <col min="6" max="6" width="8.5703125" bestFit="1" customWidth="1"/>
    <col min="7" max="7" width="47.7109375" bestFit="1" customWidth="1"/>
    <col min="8" max="9" width="16.7109375" bestFit="1" customWidth="1"/>
    <col min="10" max="10" width="24.42578125" bestFit="1" customWidth="1"/>
  </cols>
  <sheetData>
    <row r="2" spans="1:10" ht="18.75" x14ac:dyDescent="0.3">
      <c r="A2" s="3" t="s">
        <v>0</v>
      </c>
      <c r="B2" s="4" t="s">
        <v>290</v>
      </c>
    </row>
    <row r="3" spans="1:10" x14ac:dyDescent="0.25">
      <c r="A3" s="3" t="s">
        <v>2</v>
      </c>
      <c r="B3" s="1" t="s">
        <v>3</v>
      </c>
    </row>
    <row r="4" spans="1:10" x14ac:dyDescent="0.25">
      <c r="A4" s="3" t="s">
        <v>4</v>
      </c>
      <c r="B4" s="20">
        <v>2367</v>
      </c>
    </row>
    <row r="7" spans="1:10" x14ac:dyDescent="0.25">
      <c r="C7" s="22" t="s">
        <v>5</v>
      </c>
      <c r="D7" s="21"/>
      <c r="E7" s="21"/>
      <c r="F7" s="21"/>
      <c r="G7" s="21"/>
    </row>
    <row r="8" spans="1:10" x14ac:dyDescent="0.25">
      <c r="A8" s="3" t="s">
        <v>6</v>
      </c>
      <c r="B8" s="3" t="s">
        <v>7</v>
      </c>
      <c r="C8" s="15" t="s">
        <v>8</v>
      </c>
      <c r="D8" s="15" t="s">
        <v>9</v>
      </c>
      <c r="E8" s="15" t="s">
        <v>10</v>
      </c>
      <c r="F8" s="15" t="s">
        <v>11</v>
      </c>
      <c r="G8" s="15" t="s">
        <v>12</v>
      </c>
      <c r="H8" s="15" t="s">
        <v>13</v>
      </c>
      <c r="I8" s="15" t="s">
        <v>14</v>
      </c>
      <c r="J8" s="15" t="s">
        <v>15</v>
      </c>
    </row>
    <row r="9" spans="1:10" x14ac:dyDescent="0.25">
      <c r="A9" s="1" t="s">
        <v>16</v>
      </c>
      <c r="B9" s="1" t="s">
        <v>17</v>
      </c>
      <c r="C9" s="11"/>
      <c r="D9" s="11"/>
      <c r="E9" s="11">
        <v>64</v>
      </c>
      <c r="F9" s="11"/>
      <c r="G9" s="11">
        <f t="shared" ref="G9:G39" si="0">SUM(C9:F9)</f>
        <v>64</v>
      </c>
      <c r="H9" s="17">
        <f t="shared" ref="H9:H39" si="1">ROUND(G9/2367,2)</f>
        <v>0.03</v>
      </c>
      <c r="I9" s="16">
        <f t="shared" ref="I9:I39" si="2">ROUND(G9/$G$40,3)</f>
        <v>0</v>
      </c>
      <c r="J9" s="16">
        <f>ROUND(G9/60-1,2)</f>
        <v>7.0000000000000007E-2</v>
      </c>
    </row>
    <row r="10" spans="1:10" x14ac:dyDescent="0.25">
      <c r="A10" s="1" t="s">
        <v>16</v>
      </c>
      <c r="B10" s="1" t="s">
        <v>19</v>
      </c>
      <c r="C10" s="11">
        <v>77890</v>
      </c>
      <c r="D10" s="11"/>
      <c r="E10" s="11"/>
      <c r="F10" s="11"/>
      <c r="G10" s="11">
        <f t="shared" si="0"/>
        <v>77890</v>
      </c>
      <c r="H10" s="17">
        <f t="shared" si="1"/>
        <v>32.909999999999997</v>
      </c>
      <c r="I10" s="16">
        <f t="shared" si="2"/>
        <v>9.0999999999999998E-2</v>
      </c>
      <c r="J10" s="16">
        <f>ROUND(G10/73460-1,2)</f>
        <v>0.06</v>
      </c>
    </row>
    <row r="11" spans="1:10" x14ac:dyDescent="0.25">
      <c r="A11" s="1" t="s">
        <v>16</v>
      </c>
      <c r="B11" s="1" t="s">
        <v>20</v>
      </c>
      <c r="C11" s="11">
        <v>91490</v>
      </c>
      <c r="D11" s="11"/>
      <c r="E11" s="11"/>
      <c r="F11" s="11"/>
      <c r="G11" s="11">
        <f t="shared" si="0"/>
        <v>91490</v>
      </c>
      <c r="H11" s="17">
        <f t="shared" si="1"/>
        <v>38.65</v>
      </c>
      <c r="I11" s="16">
        <f t="shared" si="2"/>
        <v>0.106</v>
      </c>
      <c r="J11" s="16">
        <f>ROUND(G11/88280-1,2)</f>
        <v>0.04</v>
      </c>
    </row>
    <row r="12" spans="1:10" x14ac:dyDescent="0.25">
      <c r="A12" s="1" t="s">
        <v>16</v>
      </c>
      <c r="B12" s="1" t="s">
        <v>87</v>
      </c>
      <c r="C12" s="11"/>
      <c r="D12" s="11"/>
      <c r="E12" s="11">
        <v>57</v>
      </c>
      <c r="F12" s="11"/>
      <c r="G12" s="11">
        <f t="shared" si="0"/>
        <v>57</v>
      </c>
      <c r="H12" s="17">
        <f t="shared" si="1"/>
        <v>0.02</v>
      </c>
      <c r="I12" s="16">
        <f t="shared" si="2"/>
        <v>0</v>
      </c>
      <c r="J12" s="16">
        <f>ROUND(G12/75-1,2)</f>
        <v>-0.24</v>
      </c>
    </row>
    <row r="13" spans="1:10" x14ac:dyDescent="0.25">
      <c r="A13" s="1" t="s">
        <v>16</v>
      </c>
      <c r="B13" s="1" t="s">
        <v>21</v>
      </c>
      <c r="C13" s="11"/>
      <c r="D13" s="11"/>
      <c r="E13" s="11">
        <v>134</v>
      </c>
      <c r="F13" s="11"/>
      <c r="G13" s="11">
        <f t="shared" si="0"/>
        <v>134</v>
      </c>
      <c r="H13" s="17">
        <f t="shared" si="1"/>
        <v>0.06</v>
      </c>
      <c r="I13" s="16">
        <f t="shared" si="2"/>
        <v>0</v>
      </c>
      <c r="J13" s="16">
        <f>ROUND(G13/262-1,2)</f>
        <v>-0.49</v>
      </c>
    </row>
    <row r="14" spans="1:10" x14ac:dyDescent="0.25">
      <c r="A14" s="1" t="s">
        <v>16</v>
      </c>
      <c r="B14" s="1" t="s">
        <v>23</v>
      </c>
      <c r="C14" s="11"/>
      <c r="D14" s="11"/>
      <c r="E14" s="11">
        <v>33890</v>
      </c>
      <c r="F14" s="11"/>
      <c r="G14" s="11">
        <f t="shared" si="0"/>
        <v>33890</v>
      </c>
      <c r="H14" s="17">
        <f t="shared" si="1"/>
        <v>14.32</v>
      </c>
      <c r="I14" s="16">
        <f t="shared" si="2"/>
        <v>3.9E-2</v>
      </c>
      <c r="J14" s="16">
        <f>ROUND(G14/43000-1,2)</f>
        <v>-0.21</v>
      </c>
    </row>
    <row r="15" spans="1:10" x14ac:dyDescent="0.25">
      <c r="A15" s="1" t="s">
        <v>16</v>
      </c>
      <c r="B15" s="1" t="s">
        <v>24</v>
      </c>
      <c r="C15" s="11">
        <v>106750</v>
      </c>
      <c r="D15" s="11"/>
      <c r="E15" s="11">
        <v>210</v>
      </c>
      <c r="F15" s="11"/>
      <c r="G15" s="11">
        <f t="shared" si="0"/>
        <v>106960</v>
      </c>
      <c r="H15" s="17">
        <f t="shared" si="1"/>
        <v>45.19</v>
      </c>
      <c r="I15" s="16">
        <f t="shared" si="2"/>
        <v>0.124</v>
      </c>
      <c r="J15" s="16">
        <f>ROUND(G15/106130-1,2)</f>
        <v>0.01</v>
      </c>
    </row>
    <row r="16" spans="1:10" x14ac:dyDescent="0.25">
      <c r="A16" s="1" t="s">
        <v>16</v>
      </c>
      <c r="B16" s="1" t="s">
        <v>25</v>
      </c>
      <c r="C16" s="11"/>
      <c r="D16" s="11"/>
      <c r="E16" s="11">
        <v>2230</v>
      </c>
      <c r="F16" s="11"/>
      <c r="G16" s="11">
        <f t="shared" si="0"/>
        <v>2230</v>
      </c>
      <c r="H16" s="17">
        <f t="shared" si="1"/>
        <v>0.94</v>
      </c>
      <c r="I16" s="16">
        <f t="shared" si="2"/>
        <v>3.0000000000000001E-3</v>
      </c>
      <c r="J16" s="16">
        <f>ROUND(G16/1745-1,2)</f>
        <v>0.28000000000000003</v>
      </c>
    </row>
    <row r="17" spans="1:10" x14ac:dyDescent="0.25">
      <c r="A17" s="1" t="s">
        <v>16</v>
      </c>
      <c r="B17" s="1" t="s">
        <v>26</v>
      </c>
      <c r="C17" s="11">
        <v>155680</v>
      </c>
      <c r="D17" s="11"/>
      <c r="E17" s="11"/>
      <c r="F17" s="11"/>
      <c r="G17" s="11">
        <f t="shared" si="0"/>
        <v>155680</v>
      </c>
      <c r="H17" s="17">
        <f t="shared" si="1"/>
        <v>65.77</v>
      </c>
      <c r="I17" s="16">
        <f t="shared" si="2"/>
        <v>0.18099999999999999</v>
      </c>
      <c r="J17" s="16">
        <f>ROUND(G17/156900-1,2)</f>
        <v>-0.01</v>
      </c>
    </row>
    <row r="18" spans="1:10" x14ac:dyDescent="0.25">
      <c r="A18" s="1" t="s">
        <v>16</v>
      </c>
      <c r="B18" s="1" t="s">
        <v>27</v>
      </c>
      <c r="C18" s="11"/>
      <c r="D18" s="11"/>
      <c r="E18" s="11">
        <v>459</v>
      </c>
      <c r="F18" s="11"/>
      <c r="G18" s="11">
        <f t="shared" si="0"/>
        <v>459</v>
      </c>
      <c r="H18" s="17">
        <f t="shared" si="1"/>
        <v>0.19</v>
      </c>
      <c r="I18" s="16">
        <f t="shared" si="2"/>
        <v>1E-3</v>
      </c>
      <c r="J18" s="16"/>
    </row>
    <row r="19" spans="1:10" x14ac:dyDescent="0.25">
      <c r="A19" s="1" t="s">
        <v>16</v>
      </c>
      <c r="B19" s="1" t="s">
        <v>28</v>
      </c>
      <c r="C19" s="11"/>
      <c r="D19" s="11"/>
      <c r="E19" s="11">
        <v>477</v>
      </c>
      <c r="F19" s="11"/>
      <c r="G19" s="11">
        <f t="shared" si="0"/>
        <v>477</v>
      </c>
      <c r="H19" s="17">
        <f t="shared" si="1"/>
        <v>0.2</v>
      </c>
      <c r="I19" s="16">
        <f t="shared" si="2"/>
        <v>1E-3</v>
      </c>
      <c r="J19" s="16"/>
    </row>
    <row r="20" spans="1:10" x14ac:dyDescent="0.25">
      <c r="A20" s="1" t="s">
        <v>16</v>
      </c>
      <c r="B20" s="1" t="s">
        <v>30</v>
      </c>
      <c r="C20" s="11"/>
      <c r="D20" s="11"/>
      <c r="E20" s="11">
        <v>3560</v>
      </c>
      <c r="F20" s="11"/>
      <c r="G20" s="11">
        <f t="shared" si="0"/>
        <v>3560</v>
      </c>
      <c r="H20" s="17">
        <f t="shared" si="1"/>
        <v>1.5</v>
      </c>
      <c r="I20" s="16">
        <f t="shared" si="2"/>
        <v>4.0000000000000001E-3</v>
      </c>
      <c r="J20" s="16">
        <f>ROUND(G20/4690-1,2)</f>
        <v>-0.24</v>
      </c>
    </row>
    <row r="21" spans="1:10" x14ac:dyDescent="0.25">
      <c r="A21" s="1" t="s">
        <v>16</v>
      </c>
      <c r="B21" s="1" t="s">
        <v>31</v>
      </c>
      <c r="C21" s="11"/>
      <c r="D21" s="11"/>
      <c r="E21" s="11">
        <v>780</v>
      </c>
      <c r="F21" s="11"/>
      <c r="G21" s="11">
        <f t="shared" si="0"/>
        <v>780</v>
      </c>
      <c r="H21" s="17">
        <f t="shared" si="1"/>
        <v>0.33</v>
      </c>
      <c r="I21" s="16">
        <f t="shared" si="2"/>
        <v>1E-3</v>
      </c>
      <c r="J21" s="16">
        <f>ROUND(G21/770-1,2)</f>
        <v>0.01</v>
      </c>
    </row>
    <row r="22" spans="1:10" x14ac:dyDescent="0.25">
      <c r="A22" s="1" t="s">
        <v>16</v>
      </c>
      <c r="B22" s="1" t="s">
        <v>33</v>
      </c>
      <c r="C22" s="11"/>
      <c r="D22" s="11"/>
      <c r="E22" s="11">
        <v>1196</v>
      </c>
      <c r="F22" s="11"/>
      <c r="G22" s="11">
        <f t="shared" si="0"/>
        <v>1196</v>
      </c>
      <c r="H22" s="17">
        <f t="shared" si="1"/>
        <v>0.51</v>
      </c>
      <c r="I22" s="16">
        <f t="shared" si="2"/>
        <v>1E-3</v>
      </c>
      <c r="J22" s="16">
        <f>ROUND(G22/1470-1,2)</f>
        <v>-0.19</v>
      </c>
    </row>
    <row r="23" spans="1:10" x14ac:dyDescent="0.25">
      <c r="A23" s="1" t="s">
        <v>16</v>
      </c>
      <c r="B23" s="1" t="s">
        <v>34</v>
      </c>
      <c r="C23" s="11"/>
      <c r="D23" s="11">
        <v>81</v>
      </c>
      <c r="E23" s="11">
        <v>257</v>
      </c>
      <c r="F23" s="11"/>
      <c r="G23" s="11">
        <f t="shared" si="0"/>
        <v>338</v>
      </c>
      <c r="H23" s="17">
        <f t="shared" si="1"/>
        <v>0.14000000000000001</v>
      </c>
      <c r="I23" s="16">
        <f t="shared" si="2"/>
        <v>0</v>
      </c>
      <c r="J23" s="16">
        <f>ROUND(G23/321-1,2)</f>
        <v>0.05</v>
      </c>
    </row>
    <row r="24" spans="1:10" x14ac:dyDescent="0.25">
      <c r="A24" s="1" t="s">
        <v>16</v>
      </c>
      <c r="B24" s="1" t="s">
        <v>35</v>
      </c>
      <c r="C24" s="11"/>
      <c r="D24" s="11"/>
      <c r="E24" s="11">
        <v>812</v>
      </c>
      <c r="F24" s="11"/>
      <c r="G24" s="11">
        <f t="shared" si="0"/>
        <v>812</v>
      </c>
      <c r="H24" s="17">
        <f t="shared" si="1"/>
        <v>0.34</v>
      </c>
      <c r="I24" s="16">
        <f t="shared" si="2"/>
        <v>1E-3</v>
      </c>
      <c r="J24" s="16">
        <f>ROUND(G24/390-1,2)</f>
        <v>1.08</v>
      </c>
    </row>
    <row r="25" spans="1:10" x14ac:dyDescent="0.25">
      <c r="A25" s="1" t="s">
        <v>16</v>
      </c>
      <c r="B25" s="1" t="s">
        <v>37</v>
      </c>
      <c r="C25" s="11"/>
      <c r="D25" s="11"/>
      <c r="E25" s="11">
        <v>1210</v>
      </c>
      <c r="F25" s="11"/>
      <c r="G25" s="11">
        <f t="shared" si="0"/>
        <v>1210</v>
      </c>
      <c r="H25" s="17">
        <f t="shared" si="1"/>
        <v>0.51</v>
      </c>
      <c r="I25" s="16">
        <f t="shared" si="2"/>
        <v>1E-3</v>
      </c>
      <c r="J25" s="16">
        <f>ROUND(G25/2150-1,2)</f>
        <v>-0.44</v>
      </c>
    </row>
    <row r="26" spans="1:10" x14ac:dyDescent="0.25">
      <c r="A26" s="1" t="s">
        <v>16</v>
      </c>
      <c r="B26" s="1" t="s">
        <v>38</v>
      </c>
      <c r="C26" s="11"/>
      <c r="D26" s="11"/>
      <c r="E26" s="11">
        <v>4120</v>
      </c>
      <c r="F26" s="11"/>
      <c r="G26" s="11">
        <f t="shared" si="0"/>
        <v>4120</v>
      </c>
      <c r="H26" s="17">
        <f t="shared" si="1"/>
        <v>1.74</v>
      </c>
      <c r="I26" s="16">
        <f t="shared" si="2"/>
        <v>5.0000000000000001E-3</v>
      </c>
      <c r="J26" s="16">
        <f>ROUND(G26/8040-1,2)</f>
        <v>-0.49</v>
      </c>
    </row>
    <row r="27" spans="1:10" x14ac:dyDescent="0.25">
      <c r="A27" s="1" t="s">
        <v>16</v>
      </c>
      <c r="B27" s="1" t="s">
        <v>39</v>
      </c>
      <c r="C27" s="11"/>
      <c r="D27" s="11"/>
      <c r="E27" s="11">
        <v>7400</v>
      </c>
      <c r="F27" s="11"/>
      <c r="G27" s="11">
        <f t="shared" si="0"/>
        <v>7400</v>
      </c>
      <c r="H27" s="17">
        <f t="shared" si="1"/>
        <v>3.13</v>
      </c>
      <c r="I27" s="16">
        <f t="shared" si="2"/>
        <v>8.9999999999999993E-3</v>
      </c>
      <c r="J27" s="16">
        <f>ROUND(G27/5535-1,2)</f>
        <v>0.34</v>
      </c>
    </row>
    <row r="28" spans="1:10" x14ac:dyDescent="0.25">
      <c r="A28" s="1" t="s">
        <v>16</v>
      </c>
      <c r="B28" s="1" t="s">
        <v>40</v>
      </c>
      <c r="C28" s="11"/>
      <c r="D28" s="11"/>
      <c r="E28" s="11">
        <v>52410</v>
      </c>
      <c r="F28" s="11"/>
      <c r="G28" s="11">
        <f t="shared" si="0"/>
        <v>52410</v>
      </c>
      <c r="H28" s="17">
        <f t="shared" si="1"/>
        <v>22.14</v>
      </c>
      <c r="I28" s="16">
        <f t="shared" si="2"/>
        <v>6.0999999999999999E-2</v>
      </c>
      <c r="J28" s="16">
        <f>ROUND(G28/48060-1,2)</f>
        <v>0.09</v>
      </c>
    </row>
    <row r="29" spans="1:10" x14ac:dyDescent="0.25">
      <c r="A29" s="1" t="s">
        <v>16</v>
      </c>
      <c r="B29" s="1" t="s">
        <v>41</v>
      </c>
      <c r="C29" s="11"/>
      <c r="D29" s="11"/>
      <c r="E29" s="11">
        <v>1075</v>
      </c>
      <c r="F29" s="11"/>
      <c r="G29" s="11">
        <f t="shared" si="0"/>
        <v>1075</v>
      </c>
      <c r="H29" s="17">
        <f t="shared" si="1"/>
        <v>0.45</v>
      </c>
      <c r="I29" s="16">
        <f t="shared" si="2"/>
        <v>1E-3</v>
      </c>
      <c r="J29" s="16"/>
    </row>
    <row r="30" spans="1:10" x14ac:dyDescent="0.25">
      <c r="A30" s="1" t="s">
        <v>16</v>
      </c>
      <c r="B30" s="1" t="s">
        <v>42</v>
      </c>
      <c r="C30" s="11"/>
      <c r="D30" s="11"/>
      <c r="E30" s="11">
        <v>16510</v>
      </c>
      <c r="F30" s="11"/>
      <c r="G30" s="11">
        <f t="shared" si="0"/>
        <v>16510</v>
      </c>
      <c r="H30" s="17">
        <f t="shared" si="1"/>
        <v>6.98</v>
      </c>
      <c r="I30" s="16">
        <f t="shared" si="2"/>
        <v>1.9E-2</v>
      </c>
      <c r="J30" s="16">
        <f>ROUND(G30/17550-1,2)</f>
        <v>-0.06</v>
      </c>
    </row>
    <row r="31" spans="1:10" x14ac:dyDescent="0.25">
      <c r="A31" s="1" t="s">
        <v>16</v>
      </c>
      <c r="B31" s="1" t="s">
        <v>44</v>
      </c>
      <c r="C31" s="11"/>
      <c r="D31" s="11"/>
      <c r="E31" s="11">
        <v>84220</v>
      </c>
      <c r="F31" s="11"/>
      <c r="G31" s="11">
        <f t="shared" si="0"/>
        <v>84220</v>
      </c>
      <c r="H31" s="17">
        <f t="shared" si="1"/>
        <v>35.58</v>
      </c>
      <c r="I31" s="16">
        <f t="shared" si="2"/>
        <v>9.8000000000000004E-2</v>
      </c>
      <c r="J31" s="16">
        <f>ROUND(G31/71570-1,2)</f>
        <v>0.18</v>
      </c>
    </row>
    <row r="32" spans="1:10" x14ac:dyDescent="0.25">
      <c r="A32" s="1" t="s">
        <v>16</v>
      </c>
      <c r="B32" s="1" t="s">
        <v>36</v>
      </c>
      <c r="C32" s="11"/>
      <c r="D32" s="11"/>
      <c r="E32" s="11"/>
      <c r="F32" s="11"/>
      <c r="G32" s="11">
        <f t="shared" si="0"/>
        <v>0</v>
      </c>
      <c r="H32" s="17">
        <f t="shared" si="1"/>
        <v>0</v>
      </c>
      <c r="I32" s="16">
        <f t="shared" si="2"/>
        <v>0</v>
      </c>
      <c r="J32" s="16">
        <f>ROUND(G32/355-1,2)</f>
        <v>-1</v>
      </c>
    </row>
    <row r="33" spans="1:10" x14ac:dyDescent="0.25">
      <c r="A33" s="1" t="s">
        <v>16</v>
      </c>
      <c r="B33" s="1" t="s">
        <v>29</v>
      </c>
      <c r="C33" s="11"/>
      <c r="D33" s="11"/>
      <c r="E33" s="11"/>
      <c r="F33" s="11"/>
      <c r="G33" s="11">
        <f t="shared" si="0"/>
        <v>0</v>
      </c>
      <c r="H33" s="17">
        <f t="shared" si="1"/>
        <v>0</v>
      </c>
      <c r="I33" s="16">
        <f t="shared" si="2"/>
        <v>0</v>
      </c>
      <c r="J33" s="16"/>
    </row>
    <row r="34" spans="1:10" x14ac:dyDescent="0.25">
      <c r="A34" s="1" t="s">
        <v>16</v>
      </c>
      <c r="B34" s="1" t="s">
        <v>22</v>
      </c>
      <c r="C34" s="11"/>
      <c r="D34" s="11"/>
      <c r="E34" s="11"/>
      <c r="F34" s="11"/>
      <c r="G34" s="11">
        <f t="shared" si="0"/>
        <v>0</v>
      </c>
      <c r="H34" s="17">
        <f t="shared" si="1"/>
        <v>0</v>
      </c>
      <c r="I34" s="16">
        <f t="shared" si="2"/>
        <v>0</v>
      </c>
      <c r="J34" s="16"/>
    </row>
    <row r="35" spans="1:10" x14ac:dyDescent="0.25">
      <c r="A35" s="1" t="s">
        <v>16</v>
      </c>
      <c r="B35" s="1" t="s">
        <v>96</v>
      </c>
      <c r="C35" s="11"/>
      <c r="D35" s="11"/>
      <c r="E35" s="11"/>
      <c r="F35" s="11"/>
      <c r="G35" s="11">
        <f t="shared" si="0"/>
        <v>0</v>
      </c>
      <c r="H35" s="17">
        <f t="shared" si="1"/>
        <v>0</v>
      </c>
      <c r="I35" s="16">
        <f t="shared" si="2"/>
        <v>0</v>
      </c>
      <c r="J35" s="16"/>
    </row>
    <row r="36" spans="1:10" x14ac:dyDescent="0.25">
      <c r="A36" s="1" t="s">
        <v>45</v>
      </c>
      <c r="B36" s="1" t="s">
        <v>46</v>
      </c>
      <c r="C36" s="11">
        <v>166370</v>
      </c>
      <c r="D36" s="11"/>
      <c r="E36" s="11"/>
      <c r="F36" s="11"/>
      <c r="G36" s="11">
        <f t="shared" si="0"/>
        <v>166370</v>
      </c>
      <c r="H36" s="17">
        <f t="shared" si="1"/>
        <v>70.290000000000006</v>
      </c>
      <c r="I36" s="16">
        <f t="shared" si="2"/>
        <v>0.19400000000000001</v>
      </c>
      <c r="J36" s="16">
        <f>ROUND(G36/160190-1,2)</f>
        <v>0.04</v>
      </c>
    </row>
    <row r="37" spans="1:10" x14ac:dyDescent="0.25">
      <c r="A37" s="1" t="s">
        <v>45</v>
      </c>
      <c r="B37" s="1" t="s">
        <v>48</v>
      </c>
      <c r="C37" s="11"/>
      <c r="D37" s="11"/>
      <c r="E37" s="11"/>
      <c r="F37" s="11">
        <v>10180</v>
      </c>
      <c r="G37" s="11">
        <f t="shared" si="0"/>
        <v>10180</v>
      </c>
      <c r="H37" s="17">
        <f t="shared" si="1"/>
        <v>4.3</v>
      </c>
      <c r="I37" s="16">
        <f t="shared" si="2"/>
        <v>1.2E-2</v>
      </c>
      <c r="J37" s="16"/>
    </row>
    <row r="38" spans="1:10" x14ac:dyDescent="0.25">
      <c r="A38" s="1" t="s">
        <v>45</v>
      </c>
      <c r="B38" s="1" t="s">
        <v>47</v>
      </c>
      <c r="C38" s="11"/>
      <c r="D38" s="11"/>
      <c r="E38" s="11">
        <v>40050</v>
      </c>
      <c r="F38" s="11"/>
      <c r="G38" s="11">
        <f t="shared" si="0"/>
        <v>40050</v>
      </c>
      <c r="H38" s="17">
        <f t="shared" si="1"/>
        <v>16.920000000000002</v>
      </c>
      <c r="I38" s="16">
        <f t="shared" si="2"/>
        <v>4.7E-2</v>
      </c>
      <c r="J38" s="16">
        <f>ROUND(G38/42080-1,2)</f>
        <v>-0.05</v>
      </c>
    </row>
    <row r="39" spans="1:10" x14ac:dyDescent="0.25">
      <c r="A39" s="1" t="s">
        <v>49</v>
      </c>
      <c r="B39" s="1" t="s">
        <v>52</v>
      </c>
      <c r="C39" s="11"/>
      <c r="D39" s="11"/>
      <c r="E39" s="11"/>
      <c r="F39" s="11"/>
      <c r="G39" s="11">
        <f t="shared" si="0"/>
        <v>0</v>
      </c>
      <c r="H39" s="17">
        <f t="shared" si="1"/>
        <v>0</v>
      </c>
      <c r="I39" s="16">
        <f t="shared" si="2"/>
        <v>0</v>
      </c>
      <c r="J39" s="16"/>
    </row>
    <row r="40" spans="1:10" x14ac:dyDescent="0.25">
      <c r="A40" s="26" t="s">
        <v>12</v>
      </c>
      <c r="B40" s="26"/>
      <c r="C40" s="12">
        <f t="shared" ref="C40:H40" si="3">SUM(C8:C39)</f>
        <v>598180</v>
      </c>
      <c r="D40" s="12">
        <f t="shared" si="3"/>
        <v>81</v>
      </c>
      <c r="E40" s="12">
        <f t="shared" si="3"/>
        <v>251121</v>
      </c>
      <c r="F40" s="12">
        <f t="shared" si="3"/>
        <v>10180</v>
      </c>
      <c r="G40" s="12">
        <f t="shared" si="3"/>
        <v>859562</v>
      </c>
      <c r="H40" s="15">
        <f t="shared" si="3"/>
        <v>363.14</v>
      </c>
      <c r="I40" s="18"/>
      <c r="J40" s="18"/>
    </row>
    <row r="41" spans="1:10" x14ac:dyDescent="0.25">
      <c r="A41" s="26" t="s">
        <v>14</v>
      </c>
      <c r="B41" s="26"/>
      <c r="C41" s="13">
        <f>ROUND(C40/G40,2)</f>
        <v>0.7</v>
      </c>
      <c r="D41" s="13">
        <f>ROUND(D40/G40,2)</f>
        <v>0</v>
      </c>
      <c r="E41" s="13">
        <f>ROUND(E40/G40,2)</f>
        <v>0.28999999999999998</v>
      </c>
      <c r="F41" s="13">
        <f>ROUND(F40/G40,2)</f>
        <v>0.01</v>
      </c>
      <c r="G41" s="14"/>
      <c r="H41" s="14"/>
      <c r="I41" s="18"/>
      <c r="J41" s="18"/>
    </row>
    <row r="42" spans="1:10" x14ac:dyDescent="0.25">
      <c r="A42" s="2" t="s">
        <v>53</v>
      </c>
      <c r="B42" s="2"/>
      <c r="C42" s="14"/>
      <c r="D42" s="14"/>
      <c r="E42" s="14"/>
      <c r="F42" s="14"/>
      <c r="G42" s="14"/>
      <c r="H42" s="14"/>
      <c r="I42" s="18"/>
      <c r="J42" s="18"/>
    </row>
    <row r="43" spans="1:10" x14ac:dyDescent="0.25">
      <c r="C43" s="9"/>
      <c r="D43" s="9"/>
      <c r="E43" s="9"/>
      <c r="F43" s="9"/>
      <c r="G43" s="9"/>
      <c r="H43" s="9"/>
      <c r="I43" s="10"/>
      <c r="J43" s="10"/>
    </row>
    <row r="44" spans="1:10" x14ac:dyDescent="0.25">
      <c r="C44" s="9"/>
      <c r="D44" s="9"/>
      <c r="E44" s="9"/>
      <c r="F44" s="9"/>
      <c r="G44" s="9"/>
      <c r="H44" s="9"/>
      <c r="I44" s="10"/>
      <c r="J44" s="10"/>
    </row>
    <row r="45" spans="1:10" x14ac:dyDescent="0.25">
      <c r="C45" s="9"/>
      <c r="D45" s="9"/>
      <c r="E45" s="9"/>
      <c r="F45" s="9"/>
      <c r="G45" s="9"/>
      <c r="H45" s="9"/>
      <c r="I45" s="10"/>
      <c r="J45" s="10"/>
    </row>
    <row r="46" spans="1:10" x14ac:dyDescent="0.25">
      <c r="A46" s="26" t="s">
        <v>54</v>
      </c>
      <c r="B46" s="26"/>
      <c r="C46" s="12" t="s">
        <v>8</v>
      </c>
      <c r="D46" s="12" t="s">
        <v>9</v>
      </c>
      <c r="E46" s="12" t="s">
        <v>10</v>
      </c>
      <c r="F46" s="12" t="s">
        <v>11</v>
      </c>
      <c r="G46" s="12" t="s">
        <v>12</v>
      </c>
      <c r="H46" s="15" t="s">
        <v>13</v>
      </c>
      <c r="I46" s="18"/>
      <c r="J46" s="18"/>
    </row>
    <row r="47" spans="1:10" x14ac:dyDescent="0.25">
      <c r="A47" s="21" t="s">
        <v>55</v>
      </c>
      <c r="B47" s="21"/>
      <c r="C47" s="11">
        <v>431810</v>
      </c>
      <c r="D47" s="11">
        <v>81</v>
      </c>
      <c r="E47" s="11">
        <v>211071</v>
      </c>
      <c r="F47" s="11">
        <v>0</v>
      </c>
      <c r="G47" s="11">
        <f>SUM(C47:F47)</f>
        <v>642962</v>
      </c>
      <c r="H47" s="17">
        <f>ROUND(G47/2367,2)</f>
        <v>271.64</v>
      </c>
      <c r="I47" s="10"/>
      <c r="J47" s="10"/>
    </row>
    <row r="48" spans="1:10" x14ac:dyDescent="0.25">
      <c r="A48" s="21" t="s">
        <v>56</v>
      </c>
      <c r="B48" s="21"/>
      <c r="C48" s="11">
        <v>166370</v>
      </c>
      <c r="D48" s="11">
        <v>0</v>
      </c>
      <c r="E48" s="11">
        <v>40050</v>
      </c>
      <c r="F48" s="11">
        <v>10180</v>
      </c>
      <c r="G48" s="11">
        <f>SUM(C48:F48)</f>
        <v>216600</v>
      </c>
      <c r="H48" s="17">
        <f>ROUND(G48/2367,2)</f>
        <v>91.51</v>
      </c>
      <c r="I48" s="10"/>
      <c r="J48" s="10"/>
    </row>
    <row r="49" spans="1:10" x14ac:dyDescent="0.25">
      <c r="A49" s="21" t="s">
        <v>57</v>
      </c>
      <c r="B49" s="21"/>
      <c r="C49" s="11">
        <v>0</v>
      </c>
      <c r="D49" s="11">
        <v>0</v>
      </c>
      <c r="E49" s="11">
        <v>0</v>
      </c>
      <c r="F49" s="11">
        <v>0</v>
      </c>
      <c r="G49" s="11">
        <f>SUM(C49:F49)</f>
        <v>0</v>
      </c>
      <c r="H49" s="17">
        <f>ROUND(G49/2367,2)</f>
        <v>0</v>
      </c>
      <c r="I49" s="10"/>
      <c r="J49" s="10"/>
    </row>
    <row r="50" spans="1:10" x14ac:dyDescent="0.25">
      <c r="C50" s="9"/>
      <c r="D50" s="9"/>
      <c r="E50" s="9"/>
      <c r="F50" s="9"/>
      <c r="G50" s="9"/>
      <c r="H50" s="9"/>
      <c r="I50" s="10"/>
      <c r="J50" s="10"/>
    </row>
    <row r="51" spans="1:10" x14ac:dyDescent="0.25">
      <c r="C51" s="9"/>
      <c r="D51" s="9"/>
      <c r="E51" s="9"/>
      <c r="F51" s="9"/>
      <c r="G51" s="9"/>
      <c r="H51" s="9"/>
      <c r="I51" s="10"/>
      <c r="J51" s="10"/>
    </row>
    <row r="52" spans="1:10" x14ac:dyDescent="0.25">
      <c r="C52" s="9"/>
      <c r="D52" s="9"/>
      <c r="E52" s="9"/>
      <c r="F52" s="9"/>
      <c r="G52" s="9"/>
      <c r="H52" s="9"/>
      <c r="I52" s="10"/>
      <c r="J52" s="10"/>
    </row>
    <row r="53" spans="1:10" x14ac:dyDescent="0.25">
      <c r="C53" s="9"/>
      <c r="D53" s="9"/>
      <c r="E53" s="9"/>
      <c r="F53" s="9"/>
      <c r="G53" s="9"/>
      <c r="H53" s="9"/>
      <c r="I53" s="10"/>
      <c r="J53" s="10"/>
    </row>
    <row r="54" spans="1:10" x14ac:dyDescent="0.25">
      <c r="A54" s="26" t="s">
        <v>58</v>
      </c>
      <c r="B54" s="26"/>
      <c r="C54" s="15" t="s">
        <v>2</v>
      </c>
      <c r="D54" s="15">
        <v>2024</v>
      </c>
      <c r="E54" s="15" t="s">
        <v>60</v>
      </c>
      <c r="F54" s="14"/>
      <c r="G54" s="15" t="s">
        <v>61</v>
      </c>
      <c r="H54" s="15" t="s">
        <v>2</v>
      </c>
      <c r="I54" s="13" t="s">
        <v>62</v>
      </c>
      <c r="J54" s="13" t="s">
        <v>60</v>
      </c>
    </row>
    <row r="55" spans="1:10" x14ac:dyDescent="0.25">
      <c r="A55" s="21" t="s">
        <v>59</v>
      </c>
      <c r="B55" s="21"/>
      <c r="C55" s="16">
        <f>ROUND(0.7985, 4)</f>
        <v>0.79849999999999999</v>
      </c>
      <c r="D55" s="16">
        <f>ROUND(0.7966, 4)</f>
        <v>0.79659999999999997</v>
      </c>
      <c r="E55" s="16">
        <f>ROUND(0.7856, 4)</f>
        <v>0.78559999999999997</v>
      </c>
      <c r="F55" s="9"/>
      <c r="G55" s="15" t="s">
        <v>63</v>
      </c>
      <c r="H55" s="27" t="s">
        <v>64</v>
      </c>
      <c r="I55" s="24" t="s">
        <v>65</v>
      </c>
      <c r="J55" s="24" t="s">
        <v>66</v>
      </c>
    </row>
    <row r="56" spans="1:10" x14ac:dyDescent="0.25">
      <c r="A56" s="21" t="s">
        <v>67</v>
      </c>
      <c r="B56" s="21"/>
      <c r="C56" s="16">
        <f>ROUND(0.7985, 4)</f>
        <v>0.79849999999999999</v>
      </c>
      <c r="D56" s="16">
        <f>ROUND(0.7846, 4)</f>
        <v>0.78459999999999996</v>
      </c>
      <c r="E56" s="16">
        <f>ROUND(0.7702, 4)</f>
        <v>0.7702</v>
      </c>
      <c r="F56" s="9"/>
      <c r="G56" s="15" t="s">
        <v>68</v>
      </c>
      <c r="H56" s="28"/>
      <c r="I56" s="25"/>
      <c r="J56" s="25"/>
    </row>
    <row r="57" spans="1:10" x14ac:dyDescent="0.25">
      <c r="C57" s="9"/>
      <c r="D57" s="9"/>
      <c r="E57" s="9"/>
      <c r="F57" s="9"/>
      <c r="G57" s="9"/>
      <c r="H57" s="9"/>
      <c r="I57" s="10"/>
      <c r="J57" s="10"/>
    </row>
    <row r="58" spans="1:10" x14ac:dyDescent="0.25">
      <c r="C58" s="9"/>
      <c r="D58" s="9"/>
      <c r="E58" s="9"/>
      <c r="F58" s="9"/>
      <c r="G58" s="9"/>
      <c r="H58" s="9"/>
      <c r="I58" s="10"/>
      <c r="J58" s="10"/>
    </row>
    <row r="59" spans="1:10" x14ac:dyDescent="0.25">
      <c r="C59" s="9"/>
      <c r="D59" s="9"/>
      <c r="E59" s="9"/>
      <c r="F59" s="9"/>
      <c r="G59" s="9"/>
      <c r="H59" s="9"/>
      <c r="I59" s="10"/>
      <c r="J59" s="10"/>
    </row>
    <row r="60" spans="1:10" x14ac:dyDescent="0.25">
      <c r="A60" s="26" t="s">
        <v>69</v>
      </c>
      <c r="B60" s="26"/>
      <c r="C60" s="15" t="s">
        <v>2</v>
      </c>
      <c r="D60" s="15" t="s">
        <v>291</v>
      </c>
      <c r="E60" s="15" t="s">
        <v>71</v>
      </c>
      <c r="F60" s="15" t="s">
        <v>72</v>
      </c>
      <c r="G60" s="15" t="s">
        <v>73</v>
      </c>
      <c r="H60" s="14"/>
      <c r="I60" s="18"/>
      <c r="J60" s="18"/>
    </row>
    <row r="61" spans="1:10" x14ac:dyDescent="0.25">
      <c r="A61" s="21" t="s">
        <v>74</v>
      </c>
      <c r="B61" s="21"/>
      <c r="C61" s="17">
        <v>70.290000000000006</v>
      </c>
      <c r="D61" s="17">
        <v>67.89</v>
      </c>
      <c r="E61" s="17">
        <v>96.15</v>
      </c>
      <c r="F61" s="17">
        <v>57.94</v>
      </c>
      <c r="G61" s="17">
        <f>12/12*C61</f>
        <v>70.290000000000006</v>
      </c>
      <c r="H61" s="9"/>
      <c r="I61" s="10"/>
      <c r="J61" s="10"/>
    </row>
    <row r="62" spans="1:10" x14ac:dyDescent="0.25">
      <c r="A62" s="21" t="s">
        <v>75</v>
      </c>
      <c r="B62" s="21"/>
      <c r="C62" s="17">
        <v>65.77</v>
      </c>
      <c r="D62" s="17">
        <v>64.599999999999994</v>
      </c>
      <c r="E62" s="17">
        <v>62.28</v>
      </c>
      <c r="F62" s="17">
        <v>66.599999999999994</v>
      </c>
      <c r="G62" s="17">
        <f>12/12*C62</f>
        <v>65.77</v>
      </c>
      <c r="H62" s="9"/>
      <c r="I62" s="10"/>
      <c r="J62" s="10"/>
    </row>
    <row r="63" spans="1:10" x14ac:dyDescent="0.25">
      <c r="A63" s="21" t="s">
        <v>76</v>
      </c>
      <c r="B63" s="21"/>
      <c r="C63" s="17">
        <v>271.64</v>
      </c>
      <c r="D63" s="17">
        <v>264.52</v>
      </c>
      <c r="E63" s="17">
        <v>300.02</v>
      </c>
      <c r="F63" s="17">
        <v>295.08</v>
      </c>
      <c r="G63" s="17">
        <f>12/12*C63</f>
        <v>271.64</v>
      </c>
      <c r="H63" s="9"/>
      <c r="I63" s="10"/>
      <c r="J63" s="10"/>
    </row>
    <row r="64" spans="1:10" x14ac:dyDescent="0.25">
      <c r="A64" s="21" t="s">
        <v>77</v>
      </c>
      <c r="B64" s="21"/>
      <c r="C64" s="17">
        <v>91.51</v>
      </c>
      <c r="D64" s="17">
        <v>86.38</v>
      </c>
      <c r="E64" s="17">
        <v>120.96</v>
      </c>
      <c r="F64" s="17">
        <v>83.12</v>
      </c>
      <c r="G64" s="17">
        <f>12/12*C64</f>
        <v>91.51</v>
      </c>
      <c r="H64" s="9"/>
      <c r="I64" s="10"/>
      <c r="J64" s="10"/>
    </row>
    <row r="65" spans="1:10" x14ac:dyDescent="0.25">
      <c r="C65" s="9"/>
      <c r="D65" s="9"/>
      <c r="E65" s="9"/>
      <c r="F65" s="9"/>
      <c r="G65" s="9"/>
      <c r="H65" s="9"/>
      <c r="I65" s="10"/>
      <c r="J65" s="10"/>
    </row>
    <row r="66" spans="1:10" x14ac:dyDescent="0.25">
      <c r="C66" s="9"/>
      <c r="D66" s="9"/>
      <c r="E66" s="9"/>
      <c r="F66" s="9"/>
      <c r="G66" s="9"/>
      <c r="H66" s="9"/>
      <c r="I66" s="10"/>
      <c r="J66" s="10"/>
    </row>
    <row r="67" spans="1:10" x14ac:dyDescent="0.25">
      <c r="A67" s="22" t="s">
        <v>61</v>
      </c>
      <c r="B67" s="23"/>
      <c r="C67" s="9"/>
      <c r="D67" s="9"/>
      <c r="E67" s="9"/>
      <c r="F67" s="9"/>
      <c r="G67" s="9"/>
      <c r="H67" s="9"/>
      <c r="I67" s="10"/>
      <c r="J67" s="10"/>
    </row>
    <row r="68" spans="1:10" x14ac:dyDescent="0.25">
      <c r="A68" s="3" t="s">
        <v>78</v>
      </c>
      <c r="B68" s="1" t="s">
        <v>292</v>
      </c>
      <c r="C68" s="9"/>
      <c r="D68" s="9"/>
      <c r="E68" s="9"/>
      <c r="F68" s="9"/>
      <c r="G68" s="9"/>
      <c r="H68" s="9"/>
      <c r="I68" s="10"/>
      <c r="J68" s="10"/>
    </row>
    <row r="69" spans="1:10" x14ac:dyDescent="0.25">
      <c r="A69" s="3" t="s">
        <v>71</v>
      </c>
      <c r="B69" s="1" t="s">
        <v>80</v>
      </c>
      <c r="C69" s="9"/>
      <c r="D69" s="9"/>
      <c r="E69" s="9"/>
      <c r="F69" s="9"/>
      <c r="G69" s="9"/>
      <c r="H69" s="9"/>
      <c r="I69" s="10"/>
      <c r="J69" s="10"/>
    </row>
    <row r="70" spans="1:10" x14ac:dyDescent="0.25">
      <c r="A70" s="3" t="s">
        <v>72</v>
      </c>
      <c r="B70" s="1" t="s">
        <v>81</v>
      </c>
      <c r="C70" s="9"/>
      <c r="D70" s="9"/>
      <c r="E70" s="9"/>
      <c r="F70" s="9"/>
      <c r="G70" s="9"/>
      <c r="H70" s="9"/>
      <c r="I70" s="10"/>
      <c r="J70" s="10"/>
    </row>
    <row r="71" spans="1:10" x14ac:dyDescent="0.25">
      <c r="A71" s="3" t="s">
        <v>73</v>
      </c>
      <c r="B71" s="1" t="s">
        <v>82</v>
      </c>
      <c r="C71" s="9"/>
      <c r="D71" s="9"/>
      <c r="E71" s="9"/>
      <c r="F71" s="9"/>
      <c r="G71" s="9"/>
      <c r="H71" s="9"/>
      <c r="I71" s="10"/>
      <c r="J71" s="10"/>
    </row>
    <row r="72" spans="1:10" x14ac:dyDescent="0.25">
      <c r="C72" s="9"/>
      <c r="D72" s="9"/>
      <c r="E72" s="9"/>
      <c r="F72" s="9"/>
      <c r="G72" s="9"/>
      <c r="H72" s="9"/>
      <c r="I72" s="10"/>
      <c r="J72" s="10"/>
    </row>
    <row r="73" spans="1:10" x14ac:dyDescent="0.25">
      <c r="C73" s="9"/>
      <c r="D73" s="9"/>
      <c r="E73" s="9"/>
      <c r="F73" s="9"/>
      <c r="G73" s="9"/>
      <c r="H73" s="9"/>
      <c r="I73" s="10"/>
      <c r="J73" s="10"/>
    </row>
    <row r="74" spans="1:10" x14ac:dyDescent="0.25">
      <c r="C74" s="9"/>
      <c r="D74" s="9"/>
      <c r="E74" s="9"/>
      <c r="F74" s="9"/>
      <c r="G74" s="9"/>
      <c r="H74" s="9"/>
      <c r="I74" s="10"/>
      <c r="J74" s="10"/>
    </row>
    <row r="75" spans="1:10" x14ac:dyDescent="0.25">
      <c r="C75" s="9"/>
      <c r="D75" s="9"/>
      <c r="E75" s="9"/>
      <c r="F75" s="9"/>
      <c r="G75" s="9"/>
      <c r="H75" s="9"/>
      <c r="I75" s="10"/>
      <c r="J75" s="10"/>
    </row>
  </sheetData>
  <mergeCells count="19">
    <mergeCell ref="C7:G7"/>
    <mergeCell ref="A40:B40"/>
    <mergeCell ref="A41:B41"/>
    <mergeCell ref="A46:B46"/>
    <mergeCell ref="A47:B47"/>
    <mergeCell ref="J55:J56"/>
    <mergeCell ref="A56:B56"/>
    <mergeCell ref="A60:B60"/>
    <mergeCell ref="A61:B61"/>
    <mergeCell ref="A48:B48"/>
    <mergeCell ref="A49:B49"/>
    <mergeCell ref="A54:B54"/>
    <mergeCell ref="A55:B55"/>
    <mergeCell ref="H55:H56"/>
    <mergeCell ref="A62:B62"/>
    <mergeCell ref="A63:B63"/>
    <mergeCell ref="A64:B64"/>
    <mergeCell ref="A67:B67"/>
    <mergeCell ref="I55:I5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J73"/>
  <sheetViews>
    <sheetView workbookViewId="0">
      <selection activeCell="H5" sqref="H5"/>
    </sheetView>
  </sheetViews>
  <sheetFormatPr defaultRowHeight="15" x14ac:dyDescent="0.25"/>
  <cols>
    <col min="1" max="1" width="28.42578125" bestFit="1" customWidth="1"/>
    <col min="2" max="2" width="59.5703125" bestFit="1" customWidth="1"/>
    <col min="3" max="3" width="12.7109375" bestFit="1" customWidth="1"/>
    <col min="4" max="4" width="23" bestFit="1" customWidth="1"/>
    <col min="5" max="5" width="13.85546875" bestFit="1" customWidth="1"/>
    <col min="6" max="6" width="8.5703125" bestFit="1" customWidth="1"/>
    <col min="7" max="7" width="47.7109375" bestFit="1" customWidth="1"/>
    <col min="8" max="9" width="16.7109375" bestFit="1" customWidth="1"/>
    <col min="10" max="10" width="24.42578125" bestFit="1" customWidth="1"/>
  </cols>
  <sheetData>
    <row r="2" spans="1:10" ht="18.75" x14ac:dyDescent="0.3">
      <c r="A2" s="3" t="s">
        <v>0</v>
      </c>
      <c r="B2" s="4" t="s">
        <v>103</v>
      </c>
    </row>
    <row r="3" spans="1:10" x14ac:dyDescent="0.25">
      <c r="A3" s="3" t="s">
        <v>2</v>
      </c>
      <c r="B3" s="1" t="s">
        <v>3</v>
      </c>
    </row>
    <row r="4" spans="1:10" x14ac:dyDescent="0.25">
      <c r="A4" s="3" t="s">
        <v>4</v>
      </c>
      <c r="B4" s="20">
        <v>2345</v>
      </c>
    </row>
    <row r="7" spans="1:10" x14ac:dyDescent="0.25">
      <c r="C7" s="22" t="s">
        <v>5</v>
      </c>
      <c r="D7" s="21"/>
      <c r="E7" s="21"/>
      <c r="F7" s="21"/>
      <c r="G7" s="21"/>
    </row>
    <row r="8" spans="1:10" x14ac:dyDescent="0.25">
      <c r="A8" s="3" t="s">
        <v>6</v>
      </c>
      <c r="B8" s="3" t="s">
        <v>7</v>
      </c>
      <c r="C8" s="15" t="s">
        <v>8</v>
      </c>
      <c r="D8" s="15" t="s">
        <v>9</v>
      </c>
      <c r="E8" s="15" t="s">
        <v>10</v>
      </c>
      <c r="F8" s="15" t="s">
        <v>11</v>
      </c>
      <c r="G8" s="15" t="s">
        <v>12</v>
      </c>
      <c r="H8" s="15" t="s">
        <v>13</v>
      </c>
      <c r="I8" s="15" t="s">
        <v>14</v>
      </c>
      <c r="J8" s="15" t="s">
        <v>15</v>
      </c>
    </row>
    <row r="9" spans="1:10" x14ac:dyDescent="0.25">
      <c r="A9" s="1" t="s">
        <v>49</v>
      </c>
      <c r="B9" s="1" t="s">
        <v>51</v>
      </c>
      <c r="C9" s="11"/>
      <c r="D9" s="11"/>
      <c r="E9" s="11"/>
      <c r="F9" s="11">
        <v>150</v>
      </c>
      <c r="G9" s="11">
        <f t="shared" ref="G9:G41" si="0">SUM(C9:F9)</f>
        <v>150</v>
      </c>
      <c r="H9" s="17">
        <f t="shared" ref="H9:H41" si="1">ROUND(G9/2345,2)</f>
        <v>0.06</v>
      </c>
      <c r="I9" s="16">
        <f t="shared" ref="I9:I41" si="2">ROUND(G9/$G$42,3)</f>
        <v>0</v>
      </c>
      <c r="J9" s="16"/>
    </row>
    <row r="10" spans="1:10" x14ac:dyDescent="0.25">
      <c r="A10" s="1" t="s">
        <v>49</v>
      </c>
      <c r="B10" s="1" t="s">
        <v>52</v>
      </c>
      <c r="C10" s="11"/>
      <c r="D10" s="11"/>
      <c r="E10" s="11"/>
      <c r="F10" s="11"/>
      <c r="G10" s="11">
        <f t="shared" si="0"/>
        <v>0</v>
      </c>
      <c r="H10" s="17">
        <f t="shared" si="1"/>
        <v>0</v>
      </c>
      <c r="I10" s="16">
        <f t="shared" si="2"/>
        <v>0</v>
      </c>
      <c r="J10" s="16"/>
    </row>
    <row r="11" spans="1:10" x14ac:dyDescent="0.25">
      <c r="A11" s="1" t="s">
        <v>49</v>
      </c>
      <c r="B11" s="1" t="s">
        <v>88</v>
      </c>
      <c r="C11" s="11"/>
      <c r="D11" s="11"/>
      <c r="E11" s="11"/>
      <c r="F11" s="11"/>
      <c r="G11" s="11">
        <f t="shared" si="0"/>
        <v>0</v>
      </c>
      <c r="H11" s="17">
        <f t="shared" si="1"/>
        <v>0</v>
      </c>
      <c r="I11" s="16">
        <f t="shared" si="2"/>
        <v>0</v>
      </c>
      <c r="J11" s="16"/>
    </row>
    <row r="12" spans="1:10" x14ac:dyDescent="0.25">
      <c r="A12" s="1" t="s">
        <v>16</v>
      </c>
      <c r="B12" s="1" t="s">
        <v>17</v>
      </c>
      <c r="C12" s="11"/>
      <c r="D12" s="11"/>
      <c r="E12" s="11">
        <v>55</v>
      </c>
      <c r="F12" s="11"/>
      <c r="G12" s="11">
        <f t="shared" si="0"/>
        <v>55</v>
      </c>
      <c r="H12" s="17">
        <f t="shared" si="1"/>
        <v>0.02</v>
      </c>
      <c r="I12" s="16">
        <f t="shared" si="2"/>
        <v>0</v>
      </c>
      <c r="J12" s="16">
        <f>ROUND(G12/10-1,2)</f>
        <v>4.5</v>
      </c>
    </row>
    <row r="13" spans="1:10" x14ac:dyDescent="0.25">
      <c r="A13" s="1" t="s">
        <v>16</v>
      </c>
      <c r="B13" s="1" t="s">
        <v>19</v>
      </c>
      <c r="C13" s="11">
        <v>89490</v>
      </c>
      <c r="D13" s="11"/>
      <c r="E13" s="11"/>
      <c r="F13" s="11">
        <v>500</v>
      </c>
      <c r="G13" s="11">
        <f t="shared" si="0"/>
        <v>89990</v>
      </c>
      <c r="H13" s="17">
        <f t="shared" si="1"/>
        <v>38.380000000000003</v>
      </c>
      <c r="I13" s="16">
        <f t="shared" si="2"/>
        <v>0.09</v>
      </c>
      <c r="J13" s="16">
        <f>ROUND(G13/87930-1,2)</f>
        <v>0.02</v>
      </c>
    </row>
    <row r="14" spans="1:10" x14ac:dyDescent="0.25">
      <c r="A14" s="1" t="s">
        <v>16</v>
      </c>
      <c r="B14" s="1" t="s">
        <v>20</v>
      </c>
      <c r="C14" s="11">
        <v>85360</v>
      </c>
      <c r="D14" s="11">
        <v>2970</v>
      </c>
      <c r="E14" s="11"/>
      <c r="F14" s="11"/>
      <c r="G14" s="11">
        <f t="shared" si="0"/>
        <v>88330</v>
      </c>
      <c r="H14" s="17">
        <f t="shared" si="1"/>
        <v>37.67</v>
      </c>
      <c r="I14" s="16">
        <f t="shared" si="2"/>
        <v>8.8999999999999996E-2</v>
      </c>
      <c r="J14" s="16">
        <f>ROUND(G14/93690-1,2)</f>
        <v>-0.06</v>
      </c>
    </row>
    <row r="15" spans="1:10" x14ac:dyDescent="0.25">
      <c r="A15" s="1" t="s">
        <v>16</v>
      </c>
      <c r="B15" s="1" t="s">
        <v>87</v>
      </c>
      <c r="C15" s="11"/>
      <c r="D15" s="11"/>
      <c r="E15" s="11">
        <v>32</v>
      </c>
      <c r="F15" s="11"/>
      <c r="G15" s="11">
        <f t="shared" si="0"/>
        <v>32</v>
      </c>
      <c r="H15" s="17">
        <f t="shared" si="1"/>
        <v>0.01</v>
      </c>
      <c r="I15" s="16">
        <f t="shared" si="2"/>
        <v>0</v>
      </c>
      <c r="J15" s="16">
        <f>ROUND(G15/62-1,2)</f>
        <v>-0.48</v>
      </c>
    </row>
    <row r="16" spans="1:10" x14ac:dyDescent="0.25">
      <c r="A16" s="1" t="s">
        <v>16</v>
      </c>
      <c r="B16" s="1" t="s">
        <v>21</v>
      </c>
      <c r="C16" s="11"/>
      <c r="D16" s="11"/>
      <c r="E16" s="11">
        <v>138</v>
      </c>
      <c r="F16" s="11"/>
      <c r="G16" s="11">
        <f t="shared" si="0"/>
        <v>138</v>
      </c>
      <c r="H16" s="17">
        <f t="shared" si="1"/>
        <v>0.06</v>
      </c>
      <c r="I16" s="16">
        <f t="shared" si="2"/>
        <v>0</v>
      </c>
      <c r="J16" s="16">
        <f>ROUND(G16/335-1,2)</f>
        <v>-0.59</v>
      </c>
    </row>
    <row r="17" spans="1:10" x14ac:dyDescent="0.25">
      <c r="A17" s="1" t="s">
        <v>16</v>
      </c>
      <c r="B17" s="1" t="s">
        <v>22</v>
      </c>
      <c r="C17" s="11"/>
      <c r="D17" s="11"/>
      <c r="E17" s="11">
        <v>1900</v>
      </c>
      <c r="F17" s="11"/>
      <c r="G17" s="11">
        <f t="shared" si="0"/>
        <v>1900</v>
      </c>
      <c r="H17" s="17">
        <f t="shared" si="1"/>
        <v>0.81</v>
      </c>
      <c r="I17" s="16">
        <f t="shared" si="2"/>
        <v>2E-3</v>
      </c>
      <c r="J17" s="16">
        <f>ROUND(G17/800-1,2)</f>
        <v>1.38</v>
      </c>
    </row>
    <row r="18" spans="1:10" x14ac:dyDescent="0.25">
      <c r="A18" s="1" t="s">
        <v>16</v>
      </c>
      <c r="B18" s="1" t="s">
        <v>23</v>
      </c>
      <c r="C18" s="11"/>
      <c r="D18" s="11"/>
      <c r="E18" s="11">
        <v>72480</v>
      </c>
      <c r="F18" s="11"/>
      <c r="G18" s="11">
        <f t="shared" si="0"/>
        <v>72480</v>
      </c>
      <c r="H18" s="17">
        <f t="shared" si="1"/>
        <v>30.91</v>
      </c>
      <c r="I18" s="16">
        <f t="shared" si="2"/>
        <v>7.2999999999999995E-2</v>
      </c>
      <c r="J18" s="16">
        <f>ROUND(G18/45040-1,2)</f>
        <v>0.61</v>
      </c>
    </row>
    <row r="19" spans="1:10" x14ac:dyDescent="0.25">
      <c r="A19" s="1" t="s">
        <v>16</v>
      </c>
      <c r="B19" s="1" t="s">
        <v>24</v>
      </c>
      <c r="C19" s="11">
        <v>107660</v>
      </c>
      <c r="D19" s="11"/>
      <c r="E19" s="11">
        <v>15340</v>
      </c>
      <c r="F19" s="11">
        <v>650</v>
      </c>
      <c r="G19" s="11">
        <f t="shared" si="0"/>
        <v>123650</v>
      </c>
      <c r="H19" s="17">
        <f t="shared" si="1"/>
        <v>52.73</v>
      </c>
      <c r="I19" s="16">
        <f t="shared" si="2"/>
        <v>0.124</v>
      </c>
      <c r="J19" s="16">
        <f>ROUND(G19/111730-1,2)</f>
        <v>0.11</v>
      </c>
    </row>
    <row r="20" spans="1:10" x14ac:dyDescent="0.25">
      <c r="A20" s="1" t="s">
        <v>16</v>
      </c>
      <c r="B20" s="1" t="s">
        <v>25</v>
      </c>
      <c r="C20" s="11"/>
      <c r="D20" s="11"/>
      <c r="E20" s="11">
        <v>4480</v>
      </c>
      <c r="F20" s="11"/>
      <c r="G20" s="11">
        <f t="shared" si="0"/>
        <v>4480</v>
      </c>
      <c r="H20" s="17">
        <f t="shared" si="1"/>
        <v>1.91</v>
      </c>
      <c r="I20" s="16">
        <f t="shared" si="2"/>
        <v>4.0000000000000001E-3</v>
      </c>
      <c r="J20" s="16">
        <f>ROUND(G20/3290-1,2)</f>
        <v>0.36</v>
      </c>
    </row>
    <row r="21" spans="1:10" x14ac:dyDescent="0.25">
      <c r="A21" s="1" t="s">
        <v>16</v>
      </c>
      <c r="B21" s="1" t="s">
        <v>26</v>
      </c>
      <c r="C21" s="11">
        <v>158350</v>
      </c>
      <c r="D21" s="11"/>
      <c r="E21" s="11"/>
      <c r="F21" s="11">
        <v>790</v>
      </c>
      <c r="G21" s="11">
        <f t="shared" si="0"/>
        <v>159140</v>
      </c>
      <c r="H21" s="17">
        <f t="shared" si="1"/>
        <v>67.86</v>
      </c>
      <c r="I21" s="16">
        <f t="shared" si="2"/>
        <v>0.16</v>
      </c>
      <c r="J21" s="16">
        <f>ROUND(G21/161000-1,2)</f>
        <v>-0.01</v>
      </c>
    </row>
    <row r="22" spans="1:10" x14ac:dyDescent="0.25">
      <c r="A22" s="1" t="s">
        <v>16</v>
      </c>
      <c r="B22" s="1" t="s">
        <v>27</v>
      </c>
      <c r="C22" s="11"/>
      <c r="D22" s="11"/>
      <c r="E22" s="11">
        <v>2557</v>
      </c>
      <c r="F22" s="11"/>
      <c r="G22" s="11">
        <f t="shared" si="0"/>
        <v>2557</v>
      </c>
      <c r="H22" s="17">
        <f t="shared" si="1"/>
        <v>1.0900000000000001</v>
      </c>
      <c r="I22" s="16">
        <f t="shared" si="2"/>
        <v>3.0000000000000001E-3</v>
      </c>
      <c r="J22" s="16">
        <f>ROUND(G22/1630-1,2)</f>
        <v>0.56999999999999995</v>
      </c>
    </row>
    <row r="23" spans="1:10" x14ac:dyDescent="0.25">
      <c r="A23" s="1" t="s">
        <v>16</v>
      </c>
      <c r="B23" s="1" t="s">
        <v>28</v>
      </c>
      <c r="C23" s="11"/>
      <c r="D23" s="11"/>
      <c r="E23" s="11">
        <v>1340</v>
      </c>
      <c r="F23" s="11"/>
      <c r="G23" s="11">
        <f t="shared" si="0"/>
        <v>1340</v>
      </c>
      <c r="H23" s="17">
        <f t="shared" si="1"/>
        <v>0.56999999999999995</v>
      </c>
      <c r="I23" s="16">
        <f t="shared" si="2"/>
        <v>1E-3</v>
      </c>
      <c r="J23" s="16">
        <f>ROUND(G23/1150-1,2)</f>
        <v>0.17</v>
      </c>
    </row>
    <row r="24" spans="1:10" x14ac:dyDescent="0.25">
      <c r="A24" s="1" t="s">
        <v>16</v>
      </c>
      <c r="B24" s="1" t="s">
        <v>29</v>
      </c>
      <c r="C24" s="11"/>
      <c r="D24" s="11"/>
      <c r="E24" s="11">
        <v>173</v>
      </c>
      <c r="F24" s="11"/>
      <c r="G24" s="11">
        <f t="shared" si="0"/>
        <v>173</v>
      </c>
      <c r="H24" s="17">
        <f t="shared" si="1"/>
        <v>7.0000000000000007E-2</v>
      </c>
      <c r="I24" s="16">
        <f t="shared" si="2"/>
        <v>0</v>
      </c>
      <c r="J24" s="16">
        <f>ROUND(G24/243-1,2)</f>
        <v>-0.28999999999999998</v>
      </c>
    </row>
    <row r="25" spans="1:10" x14ac:dyDescent="0.25">
      <c r="A25" s="1" t="s">
        <v>16</v>
      </c>
      <c r="B25" s="1" t="s">
        <v>30</v>
      </c>
      <c r="C25" s="11"/>
      <c r="D25" s="11"/>
      <c r="E25" s="11">
        <v>3660</v>
      </c>
      <c r="F25" s="11"/>
      <c r="G25" s="11">
        <f t="shared" si="0"/>
        <v>3660</v>
      </c>
      <c r="H25" s="17">
        <f t="shared" si="1"/>
        <v>1.56</v>
      </c>
      <c r="I25" s="16">
        <f t="shared" si="2"/>
        <v>4.0000000000000001E-3</v>
      </c>
      <c r="J25" s="16">
        <f>ROUND(G25/2790-1,2)</f>
        <v>0.31</v>
      </c>
    </row>
    <row r="26" spans="1:10" x14ac:dyDescent="0.25">
      <c r="A26" s="1" t="s">
        <v>16</v>
      </c>
      <c r="B26" s="1" t="s">
        <v>31</v>
      </c>
      <c r="C26" s="11"/>
      <c r="D26" s="11"/>
      <c r="E26" s="11">
        <v>1100</v>
      </c>
      <c r="F26" s="11"/>
      <c r="G26" s="11">
        <f t="shared" si="0"/>
        <v>1100</v>
      </c>
      <c r="H26" s="17">
        <f t="shared" si="1"/>
        <v>0.47</v>
      </c>
      <c r="I26" s="16">
        <f t="shared" si="2"/>
        <v>1E-3</v>
      </c>
      <c r="J26" s="16">
        <f>ROUND(G26/1260-1,2)</f>
        <v>-0.13</v>
      </c>
    </row>
    <row r="27" spans="1:10" x14ac:dyDescent="0.25">
      <c r="A27" s="1" t="s">
        <v>16</v>
      </c>
      <c r="B27" s="1" t="s">
        <v>33</v>
      </c>
      <c r="C27" s="11"/>
      <c r="D27" s="11"/>
      <c r="E27" s="11">
        <v>2611</v>
      </c>
      <c r="F27" s="11"/>
      <c r="G27" s="11">
        <f t="shared" si="0"/>
        <v>2611</v>
      </c>
      <c r="H27" s="17">
        <f t="shared" si="1"/>
        <v>1.1100000000000001</v>
      </c>
      <c r="I27" s="16">
        <f t="shared" si="2"/>
        <v>3.0000000000000001E-3</v>
      </c>
      <c r="J27" s="16">
        <f>ROUND(G27/1481-1,2)</f>
        <v>0.76</v>
      </c>
    </row>
    <row r="28" spans="1:10" x14ac:dyDescent="0.25">
      <c r="A28" s="1" t="s">
        <v>16</v>
      </c>
      <c r="B28" s="1" t="s">
        <v>34</v>
      </c>
      <c r="C28" s="11"/>
      <c r="D28" s="11">
        <v>45</v>
      </c>
      <c r="E28" s="11">
        <v>269</v>
      </c>
      <c r="F28" s="11"/>
      <c r="G28" s="11">
        <f t="shared" si="0"/>
        <v>314</v>
      </c>
      <c r="H28" s="17">
        <f t="shared" si="1"/>
        <v>0.13</v>
      </c>
      <c r="I28" s="16">
        <f t="shared" si="2"/>
        <v>0</v>
      </c>
      <c r="J28" s="16">
        <f>ROUND(G28/329-1,2)</f>
        <v>-0.05</v>
      </c>
    </row>
    <row r="29" spans="1:10" x14ac:dyDescent="0.25">
      <c r="A29" s="1" t="s">
        <v>16</v>
      </c>
      <c r="B29" s="1" t="s">
        <v>35</v>
      </c>
      <c r="C29" s="11"/>
      <c r="D29" s="11"/>
      <c r="E29" s="11">
        <v>196</v>
      </c>
      <c r="F29" s="11"/>
      <c r="G29" s="11">
        <f t="shared" si="0"/>
        <v>196</v>
      </c>
      <c r="H29" s="17">
        <f t="shared" si="1"/>
        <v>0.08</v>
      </c>
      <c r="I29" s="16">
        <f t="shared" si="2"/>
        <v>0</v>
      </c>
      <c r="J29" s="16">
        <f>ROUND(G29/200-1,2)</f>
        <v>-0.02</v>
      </c>
    </row>
    <row r="30" spans="1:10" x14ac:dyDescent="0.25">
      <c r="A30" s="1" t="s">
        <v>16</v>
      </c>
      <c r="B30" s="1" t="s">
        <v>37</v>
      </c>
      <c r="C30" s="11"/>
      <c r="D30" s="11"/>
      <c r="E30" s="11">
        <v>1750</v>
      </c>
      <c r="F30" s="11"/>
      <c r="G30" s="11">
        <f t="shared" si="0"/>
        <v>1750</v>
      </c>
      <c r="H30" s="17">
        <f t="shared" si="1"/>
        <v>0.75</v>
      </c>
      <c r="I30" s="16">
        <f t="shared" si="2"/>
        <v>2E-3</v>
      </c>
      <c r="J30" s="16">
        <f>ROUND(G30/1550-1,2)</f>
        <v>0.13</v>
      </c>
    </row>
    <row r="31" spans="1:10" x14ac:dyDescent="0.25">
      <c r="A31" s="1" t="s">
        <v>16</v>
      </c>
      <c r="B31" s="1" t="s">
        <v>39</v>
      </c>
      <c r="C31" s="11"/>
      <c r="D31" s="11"/>
      <c r="E31" s="11">
        <v>8250</v>
      </c>
      <c r="F31" s="11"/>
      <c r="G31" s="11">
        <f t="shared" si="0"/>
        <v>8250</v>
      </c>
      <c r="H31" s="17">
        <f t="shared" si="1"/>
        <v>3.52</v>
      </c>
      <c r="I31" s="16">
        <f t="shared" si="2"/>
        <v>8.0000000000000002E-3</v>
      </c>
      <c r="J31" s="16">
        <f>ROUND(G31/3030-1,2)</f>
        <v>1.72</v>
      </c>
    </row>
    <row r="32" spans="1:10" x14ac:dyDescent="0.25">
      <c r="A32" s="1" t="s">
        <v>16</v>
      </c>
      <c r="B32" s="1" t="s">
        <v>38</v>
      </c>
      <c r="C32" s="11"/>
      <c r="D32" s="11"/>
      <c r="E32" s="11">
        <v>4580</v>
      </c>
      <c r="F32" s="11"/>
      <c r="G32" s="11">
        <f t="shared" si="0"/>
        <v>4580</v>
      </c>
      <c r="H32" s="17">
        <f t="shared" si="1"/>
        <v>1.95</v>
      </c>
      <c r="I32" s="16">
        <f t="shared" si="2"/>
        <v>5.0000000000000001E-3</v>
      </c>
      <c r="J32" s="16">
        <f>ROUND(G32/4040-1,2)</f>
        <v>0.13</v>
      </c>
    </row>
    <row r="33" spans="1:10" x14ac:dyDescent="0.25">
      <c r="A33" s="1" t="s">
        <v>16</v>
      </c>
      <c r="B33" s="1" t="s">
        <v>40</v>
      </c>
      <c r="C33" s="11"/>
      <c r="D33" s="11"/>
      <c r="E33" s="11">
        <v>78905</v>
      </c>
      <c r="F33" s="11"/>
      <c r="G33" s="11">
        <f t="shared" si="0"/>
        <v>78905</v>
      </c>
      <c r="H33" s="17">
        <f t="shared" si="1"/>
        <v>33.65</v>
      </c>
      <c r="I33" s="16">
        <f t="shared" si="2"/>
        <v>7.9000000000000001E-2</v>
      </c>
      <c r="J33" s="16">
        <f>ROUND(G33/70275-1,2)</f>
        <v>0.12</v>
      </c>
    </row>
    <row r="34" spans="1:10" x14ac:dyDescent="0.25">
      <c r="A34" s="1" t="s">
        <v>16</v>
      </c>
      <c r="B34" s="1" t="s">
        <v>41</v>
      </c>
      <c r="C34" s="11"/>
      <c r="D34" s="11"/>
      <c r="E34" s="11">
        <v>8450</v>
      </c>
      <c r="F34" s="11"/>
      <c r="G34" s="11">
        <f t="shared" si="0"/>
        <v>8450</v>
      </c>
      <c r="H34" s="17">
        <f t="shared" si="1"/>
        <v>3.6</v>
      </c>
      <c r="I34" s="16">
        <f t="shared" si="2"/>
        <v>8.0000000000000002E-3</v>
      </c>
      <c r="J34" s="16">
        <f>ROUND(G34/6150-1,2)</f>
        <v>0.37</v>
      </c>
    </row>
    <row r="35" spans="1:10" x14ac:dyDescent="0.25">
      <c r="A35" s="1" t="s">
        <v>16</v>
      </c>
      <c r="B35" s="1" t="s">
        <v>42</v>
      </c>
      <c r="C35" s="11"/>
      <c r="D35" s="11"/>
      <c r="E35" s="11">
        <v>26620</v>
      </c>
      <c r="F35" s="11"/>
      <c r="G35" s="11">
        <f t="shared" si="0"/>
        <v>26620</v>
      </c>
      <c r="H35" s="17">
        <f t="shared" si="1"/>
        <v>11.35</v>
      </c>
      <c r="I35" s="16">
        <f t="shared" si="2"/>
        <v>2.7E-2</v>
      </c>
      <c r="J35" s="16">
        <f>ROUND(G35/18950-1,2)</f>
        <v>0.4</v>
      </c>
    </row>
    <row r="36" spans="1:10" x14ac:dyDescent="0.25">
      <c r="A36" s="1" t="s">
        <v>16</v>
      </c>
      <c r="B36" s="1" t="s">
        <v>44</v>
      </c>
      <c r="C36" s="11"/>
      <c r="D36" s="11"/>
      <c r="E36" s="11">
        <v>94485</v>
      </c>
      <c r="F36" s="11">
        <v>2100</v>
      </c>
      <c r="G36" s="11">
        <f t="shared" si="0"/>
        <v>96585</v>
      </c>
      <c r="H36" s="17">
        <f t="shared" si="1"/>
        <v>41.19</v>
      </c>
      <c r="I36" s="16">
        <f t="shared" si="2"/>
        <v>9.7000000000000003E-2</v>
      </c>
      <c r="J36" s="16">
        <f>ROUND(G36/77500-1,2)</f>
        <v>0.25</v>
      </c>
    </row>
    <row r="37" spans="1:10" x14ac:dyDescent="0.25">
      <c r="A37" s="1" t="s">
        <v>16</v>
      </c>
      <c r="B37" s="1" t="s">
        <v>36</v>
      </c>
      <c r="C37" s="11"/>
      <c r="D37" s="11"/>
      <c r="E37" s="11"/>
      <c r="F37" s="11"/>
      <c r="G37" s="11">
        <f t="shared" si="0"/>
        <v>0</v>
      </c>
      <c r="H37" s="17">
        <f t="shared" si="1"/>
        <v>0</v>
      </c>
      <c r="I37" s="16">
        <f t="shared" si="2"/>
        <v>0</v>
      </c>
      <c r="J37" s="16">
        <f>ROUND(G37/507-1,2)</f>
        <v>-1</v>
      </c>
    </row>
    <row r="38" spans="1:10" x14ac:dyDescent="0.25">
      <c r="A38" s="1" t="s">
        <v>16</v>
      </c>
      <c r="B38" s="1" t="s">
        <v>96</v>
      </c>
      <c r="C38" s="11"/>
      <c r="D38" s="11"/>
      <c r="E38" s="11"/>
      <c r="F38" s="11"/>
      <c r="G38" s="11">
        <f t="shared" si="0"/>
        <v>0</v>
      </c>
      <c r="H38" s="17">
        <f t="shared" si="1"/>
        <v>0</v>
      </c>
      <c r="I38" s="16">
        <f t="shared" si="2"/>
        <v>0</v>
      </c>
      <c r="J38" s="16"/>
    </row>
    <row r="39" spans="1:10" x14ac:dyDescent="0.25">
      <c r="A39" s="1" t="s">
        <v>45</v>
      </c>
      <c r="B39" s="1" t="s">
        <v>46</v>
      </c>
      <c r="C39" s="11">
        <v>131710</v>
      </c>
      <c r="D39" s="11"/>
      <c r="E39" s="11"/>
      <c r="F39" s="11">
        <v>740</v>
      </c>
      <c r="G39" s="11">
        <f t="shared" si="0"/>
        <v>132450</v>
      </c>
      <c r="H39" s="17">
        <f t="shared" si="1"/>
        <v>56.48</v>
      </c>
      <c r="I39" s="16">
        <f t="shared" si="2"/>
        <v>0.13300000000000001</v>
      </c>
      <c r="J39" s="16">
        <f>ROUND(G39/126920-1,2)</f>
        <v>0.04</v>
      </c>
    </row>
    <row r="40" spans="1:10" x14ac:dyDescent="0.25">
      <c r="A40" s="1" t="s">
        <v>45</v>
      </c>
      <c r="B40" s="1" t="s">
        <v>48</v>
      </c>
      <c r="C40" s="11"/>
      <c r="D40" s="11"/>
      <c r="E40" s="11"/>
      <c r="F40" s="11">
        <v>22140</v>
      </c>
      <c r="G40" s="11">
        <f t="shared" si="0"/>
        <v>22140</v>
      </c>
      <c r="H40" s="17">
        <f t="shared" si="1"/>
        <v>9.44</v>
      </c>
      <c r="I40" s="16">
        <f t="shared" si="2"/>
        <v>2.1999999999999999E-2</v>
      </c>
      <c r="J40" s="16">
        <f>ROUND(G40/15240-1,2)</f>
        <v>0.45</v>
      </c>
    </row>
    <row r="41" spans="1:10" x14ac:dyDescent="0.25">
      <c r="A41" s="1" t="s">
        <v>45</v>
      </c>
      <c r="B41" s="1" t="s">
        <v>47</v>
      </c>
      <c r="C41" s="11"/>
      <c r="D41" s="11"/>
      <c r="E41" s="11">
        <v>65070</v>
      </c>
      <c r="F41" s="11"/>
      <c r="G41" s="11">
        <f t="shared" si="0"/>
        <v>65070</v>
      </c>
      <c r="H41" s="17">
        <f t="shared" si="1"/>
        <v>27.75</v>
      </c>
      <c r="I41" s="16">
        <f t="shared" si="2"/>
        <v>6.5000000000000002E-2</v>
      </c>
      <c r="J41" s="16">
        <f>ROUND(G41/51410-1,2)</f>
        <v>0.27</v>
      </c>
    </row>
    <row r="42" spans="1:10" x14ac:dyDescent="0.25">
      <c r="A42" s="26" t="s">
        <v>12</v>
      </c>
      <c r="B42" s="26"/>
      <c r="C42" s="12">
        <f t="shared" ref="C42:H42" si="3">SUM(C8:C41)</f>
        <v>572570</v>
      </c>
      <c r="D42" s="12">
        <f t="shared" si="3"/>
        <v>3015</v>
      </c>
      <c r="E42" s="12">
        <f t="shared" si="3"/>
        <v>394441</v>
      </c>
      <c r="F42" s="12">
        <f t="shared" si="3"/>
        <v>27070</v>
      </c>
      <c r="G42" s="12">
        <f t="shared" si="3"/>
        <v>997096</v>
      </c>
      <c r="H42" s="15">
        <f t="shared" si="3"/>
        <v>425.18000000000006</v>
      </c>
      <c r="I42" s="18"/>
      <c r="J42" s="18"/>
    </row>
    <row r="43" spans="1:10" x14ac:dyDescent="0.25">
      <c r="A43" s="26" t="s">
        <v>14</v>
      </c>
      <c r="B43" s="26"/>
      <c r="C43" s="13">
        <f>ROUND(C42/G42,2)</f>
        <v>0.56999999999999995</v>
      </c>
      <c r="D43" s="13">
        <f>ROUND(D42/G42,2)</f>
        <v>0</v>
      </c>
      <c r="E43" s="13">
        <f>ROUND(E42/G42,2)</f>
        <v>0.4</v>
      </c>
      <c r="F43" s="13">
        <f>ROUND(F42/G42,2)</f>
        <v>0.03</v>
      </c>
      <c r="G43" s="14"/>
      <c r="H43" s="14"/>
      <c r="I43" s="18"/>
      <c r="J43" s="18"/>
    </row>
    <row r="44" spans="1:10" x14ac:dyDescent="0.25">
      <c r="A44" s="2" t="s">
        <v>53</v>
      </c>
      <c r="B44" s="2"/>
      <c r="C44" s="14"/>
      <c r="D44" s="14"/>
      <c r="E44" s="14"/>
      <c r="F44" s="14"/>
      <c r="G44" s="14"/>
      <c r="H44" s="14"/>
      <c r="I44" s="18"/>
      <c r="J44" s="18"/>
    </row>
    <row r="45" spans="1:10" x14ac:dyDescent="0.25">
      <c r="C45" s="9"/>
      <c r="D45" s="9"/>
      <c r="E45" s="9"/>
      <c r="F45" s="9"/>
      <c r="G45" s="9"/>
      <c r="H45" s="9"/>
      <c r="I45" s="10"/>
      <c r="J45" s="10"/>
    </row>
    <row r="46" spans="1:10" x14ac:dyDescent="0.25">
      <c r="C46" s="9"/>
      <c r="D46" s="9"/>
      <c r="E46" s="9"/>
      <c r="F46" s="9"/>
      <c r="G46" s="9"/>
      <c r="H46" s="9"/>
      <c r="I46" s="10"/>
      <c r="J46" s="10"/>
    </row>
    <row r="47" spans="1:10" x14ac:dyDescent="0.25">
      <c r="C47" s="9"/>
      <c r="D47" s="9"/>
      <c r="E47" s="9"/>
      <c r="F47" s="9"/>
      <c r="G47" s="9"/>
      <c r="H47" s="9"/>
      <c r="I47" s="10"/>
      <c r="J47" s="10"/>
    </row>
    <row r="48" spans="1:10" x14ac:dyDescent="0.25">
      <c r="A48" s="26" t="s">
        <v>54</v>
      </c>
      <c r="B48" s="26"/>
      <c r="C48" s="12" t="s">
        <v>8</v>
      </c>
      <c r="D48" s="12" t="s">
        <v>9</v>
      </c>
      <c r="E48" s="12" t="s">
        <v>10</v>
      </c>
      <c r="F48" s="12" t="s">
        <v>11</v>
      </c>
      <c r="G48" s="12" t="s">
        <v>12</v>
      </c>
      <c r="H48" s="15" t="s">
        <v>13</v>
      </c>
      <c r="I48" s="18"/>
      <c r="J48" s="18"/>
    </row>
    <row r="49" spans="1:10" x14ac:dyDescent="0.25">
      <c r="A49" s="21" t="s">
        <v>55</v>
      </c>
      <c r="B49" s="21"/>
      <c r="C49" s="11">
        <v>440860</v>
      </c>
      <c r="D49" s="11">
        <v>3015</v>
      </c>
      <c r="E49" s="11">
        <v>329371</v>
      </c>
      <c r="F49" s="11">
        <v>4040</v>
      </c>
      <c r="G49" s="11">
        <f>SUM(C49:F49)</f>
        <v>777286</v>
      </c>
      <c r="H49" s="17">
        <f>ROUND(G49/2345,2)</f>
        <v>331.47</v>
      </c>
      <c r="I49" s="10"/>
      <c r="J49" s="10"/>
    </row>
    <row r="50" spans="1:10" x14ac:dyDescent="0.25">
      <c r="A50" s="21" t="s">
        <v>56</v>
      </c>
      <c r="B50" s="21"/>
      <c r="C50" s="11">
        <v>131710</v>
      </c>
      <c r="D50" s="11">
        <v>0</v>
      </c>
      <c r="E50" s="11">
        <v>65070</v>
      </c>
      <c r="F50" s="11">
        <v>22880</v>
      </c>
      <c r="G50" s="11">
        <f>SUM(C50:F50)</f>
        <v>219660</v>
      </c>
      <c r="H50" s="17">
        <f>ROUND(G50/2345,2)</f>
        <v>93.67</v>
      </c>
      <c r="I50" s="10"/>
      <c r="J50" s="10"/>
    </row>
    <row r="51" spans="1:10" x14ac:dyDescent="0.25">
      <c r="A51" s="21" t="s">
        <v>57</v>
      </c>
      <c r="B51" s="21"/>
      <c r="C51" s="11">
        <v>0</v>
      </c>
      <c r="D51" s="11">
        <v>0</v>
      </c>
      <c r="E51" s="11">
        <v>0</v>
      </c>
      <c r="F51" s="11">
        <v>150</v>
      </c>
      <c r="G51" s="11">
        <f>SUM(C51:F51)</f>
        <v>150</v>
      </c>
      <c r="H51" s="17">
        <f>ROUND(G51/2345,2)</f>
        <v>0.06</v>
      </c>
      <c r="I51" s="10"/>
      <c r="J51" s="10"/>
    </row>
    <row r="52" spans="1:10" x14ac:dyDescent="0.25">
      <c r="C52" s="9"/>
      <c r="D52" s="9"/>
      <c r="E52" s="9"/>
      <c r="F52" s="9"/>
      <c r="G52" s="9"/>
      <c r="H52" s="9"/>
      <c r="I52" s="10"/>
      <c r="J52" s="10"/>
    </row>
    <row r="53" spans="1:10" x14ac:dyDescent="0.25">
      <c r="C53" s="9"/>
      <c r="D53" s="9"/>
      <c r="E53" s="9"/>
      <c r="F53" s="9"/>
      <c r="G53" s="9"/>
      <c r="H53" s="9"/>
      <c r="I53" s="10"/>
      <c r="J53" s="10"/>
    </row>
    <row r="54" spans="1:10" x14ac:dyDescent="0.25">
      <c r="C54" s="9"/>
      <c r="D54" s="9"/>
      <c r="E54" s="9"/>
      <c r="F54" s="9"/>
      <c r="G54" s="9"/>
      <c r="H54" s="9"/>
      <c r="I54" s="10"/>
      <c r="J54" s="10"/>
    </row>
    <row r="55" spans="1:10" x14ac:dyDescent="0.25">
      <c r="C55" s="9"/>
      <c r="D55" s="9"/>
      <c r="E55" s="9"/>
      <c r="F55" s="9"/>
      <c r="G55" s="9"/>
      <c r="H55" s="9"/>
      <c r="I55" s="10"/>
      <c r="J55" s="10"/>
    </row>
    <row r="56" spans="1:10" x14ac:dyDescent="0.25">
      <c r="A56" s="26" t="s">
        <v>58</v>
      </c>
      <c r="B56" s="26"/>
      <c r="C56" s="15" t="s">
        <v>2</v>
      </c>
      <c r="D56" s="15">
        <v>2024</v>
      </c>
      <c r="E56" s="15" t="s">
        <v>60</v>
      </c>
      <c r="F56" s="14"/>
      <c r="G56" s="15" t="s">
        <v>61</v>
      </c>
      <c r="H56" s="15" t="s">
        <v>2</v>
      </c>
      <c r="I56" s="13" t="s">
        <v>62</v>
      </c>
      <c r="J56" s="13" t="s">
        <v>60</v>
      </c>
    </row>
    <row r="57" spans="1:10" x14ac:dyDescent="0.25">
      <c r="A57" s="21" t="s">
        <v>59</v>
      </c>
      <c r="B57" s="21"/>
      <c r="C57" s="16">
        <f>ROUND(0.8564, 4)</f>
        <v>0.85640000000000005</v>
      </c>
      <c r="D57" s="16">
        <f>ROUND(0.8409, 4)</f>
        <v>0.84089999999999998</v>
      </c>
      <c r="E57" s="16">
        <f>ROUND(0.7856, 4)</f>
        <v>0.78559999999999997</v>
      </c>
      <c r="F57" s="9"/>
      <c r="G57" s="15" t="s">
        <v>63</v>
      </c>
      <c r="H57" s="27" t="s">
        <v>64</v>
      </c>
      <c r="I57" s="24" t="s">
        <v>65</v>
      </c>
      <c r="J57" s="24" t="s">
        <v>66</v>
      </c>
    </row>
    <row r="58" spans="1:10" x14ac:dyDescent="0.25">
      <c r="A58" s="21" t="s">
        <v>67</v>
      </c>
      <c r="B58" s="21"/>
      <c r="C58" s="16">
        <f>ROUND(0.8564, 4)</f>
        <v>0.85640000000000005</v>
      </c>
      <c r="D58" s="16">
        <f>ROUND(0.8275, 4)</f>
        <v>0.82750000000000001</v>
      </c>
      <c r="E58" s="16">
        <f>ROUND(0.7702, 4)</f>
        <v>0.7702</v>
      </c>
      <c r="F58" s="9"/>
      <c r="G58" s="15" t="s">
        <v>68</v>
      </c>
      <c r="H58" s="28"/>
      <c r="I58" s="25"/>
      <c r="J58" s="25"/>
    </row>
    <row r="59" spans="1:10" x14ac:dyDescent="0.25">
      <c r="C59" s="9"/>
      <c r="D59" s="9"/>
      <c r="E59" s="9"/>
      <c r="F59" s="9"/>
      <c r="G59" s="9"/>
      <c r="H59" s="9"/>
      <c r="I59" s="10"/>
      <c r="J59" s="10"/>
    </row>
    <row r="60" spans="1:10" x14ac:dyDescent="0.25">
      <c r="C60" s="9"/>
      <c r="D60" s="9"/>
      <c r="E60" s="9"/>
      <c r="F60" s="9"/>
      <c r="G60" s="9"/>
      <c r="H60" s="9"/>
      <c r="I60" s="10"/>
      <c r="J60" s="10"/>
    </row>
    <row r="61" spans="1:10" x14ac:dyDescent="0.25">
      <c r="C61" s="9"/>
      <c r="D61" s="9"/>
      <c r="E61" s="9"/>
      <c r="F61" s="9"/>
      <c r="G61" s="9"/>
      <c r="H61" s="9"/>
      <c r="I61" s="10"/>
      <c r="J61" s="10"/>
    </row>
    <row r="62" spans="1:10" x14ac:dyDescent="0.25">
      <c r="A62" s="26" t="s">
        <v>69</v>
      </c>
      <c r="B62" s="26"/>
      <c r="C62" s="15" t="s">
        <v>2</v>
      </c>
      <c r="D62" s="15" t="s">
        <v>104</v>
      </c>
      <c r="E62" s="15" t="s">
        <v>71</v>
      </c>
      <c r="F62" s="15" t="s">
        <v>72</v>
      </c>
      <c r="G62" s="15" t="s">
        <v>73</v>
      </c>
      <c r="H62" s="14"/>
      <c r="I62" s="18"/>
      <c r="J62" s="18"/>
    </row>
    <row r="63" spans="1:10" x14ac:dyDescent="0.25">
      <c r="A63" s="21" t="s">
        <v>74</v>
      </c>
      <c r="B63" s="21"/>
      <c r="C63" s="17">
        <v>56.48</v>
      </c>
      <c r="D63" s="17">
        <v>72.64</v>
      </c>
      <c r="E63" s="17">
        <v>96.15</v>
      </c>
      <c r="F63" s="17">
        <v>57.94</v>
      </c>
      <c r="G63" s="17">
        <f>12/12*C63</f>
        <v>56.48</v>
      </c>
      <c r="H63" s="9"/>
      <c r="I63" s="10"/>
      <c r="J63" s="10"/>
    </row>
    <row r="64" spans="1:10" x14ac:dyDescent="0.25">
      <c r="A64" s="21" t="s">
        <v>75</v>
      </c>
      <c r="B64" s="21"/>
      <c r="C64" s="17">
        <v>67.86</v>
      </c>
      <c r="D64" s="17">
        <v>68.760000000000005</v>
      </c>
      <c r="E64" s="17">
        <v>62.28</v>
      </c>
      <c r="F64" s="17">
        <v>66.599999999999994</v>
      </c>
      <c r="G64" s="17">
        <f>12/12*C64</f>
        <v>67.86</v>
      </c>
      <c r="H64" s="9"/>
      <c r="I64" s="10"/>
      <c r="J64" s="10"/>
    </row>
    <row r="65" spans="1:10" x14ac:dyDescent="0.25">
      <c r="A65" s="21" t="s">
        <v>76</v>
      </c>
      <c r="B65" s="21"/>
      <c r="C65" s="17">
        <v>331.47</v>
      </c>
      <c r="D65" s="17">
        <v>297.51</v>
      </c>
      <c r="E65" s="17">
        <v>300.02</v>
      </c>
      <c r="F65" s="17">
        <v>295.08</v>
      </c>
      <c r="G65" s="17">
        <f>12/12*C65</f>
        <v>331.47</v>
      </c>
      <c r="H65" s="9"/>
      <c r="I65" s="10"/>
      <c r="J65" s="10"/>
    </row>
    <row r="66" spans="1:10" x14ac:dyDescent="0.25">
      <c r="A66" s="21" t="s">
        <v>77</v>
      </c>
      <c r="B66" s="21"/>
      <c r="C66" s="17">
        <v>93.67</v>
      </c>
      <c r="D66" s="17">
        <v>102.19</v>
      </c>
      <c r="E66" s="17">
        <v>120.96</v>
      </c>
      <c r="F66" s="17">
        <v>83.12</v>
      </c>
      <c r="G66" s="17">
        <f>12/12*C66</f>
        <v>93.67</v>
      </c>
      <c r="H66" s="9"/>
      <c r="I66" s="10"/>
      <c r="J66" s="10"/>
    </row>
    <row r="67" spans="1:10" x14ac:dyDescent="0.25">
      <c r="C67" s="9"/>
      <c r="D67" s="9"/>
      <c r="E67" s="9"/>
      <c r="F67" s="9"/>
      <c r="G67" s="9"/>
      <c r="H67" s="9"/>
      <c r="I67" s="10"/>
      <c r="J67" s="10"/>
    </row>
    <row r="68" spans="1:10" x14ac:dyDescent="0.25">
      <c r="C68" s="9"/>
      <c r="D68" s="9"/>
      <c r="E68" s="9"/>
      <c r="F68" s="9"/>
      <c r="G68" s="9"/>
      <c r="H68" s="9"/>
      <c r="I68" s="10"/>
      <c r="J68" s="10"/>
    </row>
    <row r="69" spans="1:10" x14ac:dyDescent="0.25">
      <c r="A69" s="22" t="s">
        <v>61</v>
      </c>
      <c r="B69" s="23"/>
      <c r="C69" s="9"/>
      <c r="D69" s="9"/>
      <c r="E69" s="9"/>
      <c r="F69" s="9"/>
      <c r="G69" s="9"/>
      <c r="H69" s="9"/>
      <c r="I69" s="10"/>
      <c r="J69" s="10"/>
    </row>
    <row r="70" spans="1:10" x14ac:dyDescent="0.25">
      <c r="A70" s="3" t="s">
        <v>78</v>
      </c>
      <c r="B70" s="1" t="s">
        <v>105</v>
      </c>
      <c r="C70" s="9"/>
      <c r="D70" s="9"/>
      <c r="E70" s="9"/>
      <c r="F70" s="9"/>
      <c r="G70" s="9"/>
      <c r="H70" s="9"/>
      <c r="I70" s="10"/>
      <c r="J70" s="10"/>
    </row>
    <row r="71" spans="1:10" x14ac:dyDescent="0.25">
      <c r="A71" s="3" t="s">
        <v>71</v>
      </c>
      <c r="B71" s="1" t="s">
        <v>80</v>
      </c>
    </row>
    <row r="72" spans="1:10" x14ac:dyDescent="0.25">
      <c r="A72" s="3" t="s">
        <v>72</v>
      </c>
      <c r="B72" s="1" t="s">
        <v>81</v>
      </c>
    </row>
    <row r="73" spans="1:10" x14ac:dyDescent="0.25">
      <c r="A73" s="3" t="s">
        <v>73</v>
      </c>
      <c r="B73" s="1" t="s">
        <v>82</v>
      </c>
    </row>
  </sheetData>
  <mergeCells count="19">
    <mergeCell ref="C7:G7"/>
    <mergeCell ref="A42:B42"/>
    <mergeCell ref="A43:B43"/>
    <mergeCell ref="A48:B48"/>
    <mergeCell ref="A49:B49"/>
    <mergeCell ref="J57:J58"/>
    <mergeCell ref="A58:B58"/>
    <mergeCell ref="A62:B62"/>
    <mergeCell ref="A63:B63"/>
    <mergeCell ref="A50:B50"/>
    <mergeCell ref="A51:B51"/>
    <mergeCell ref="A56:B56"/>
    <mergeCell ref="A57:B57"/>
    <mergeCell ref="H57:H58"/>
    <mergeCell ref="A64:B64"/>
    <mergeCell ref="A65:B65"/>
    <mergeCell ref="A66:B66"/>
    <mergeCell ref="A69:B69"/>
    <mergeCell ref="I57:I58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2:J75"/>
  <sheetViews>
    <sheetView workbookViewId="0">
      <selection activeCell="H5" sqref="H5"/>
    </sheetView>
  </sheetViews>
  <sheetFormatPr defaultRowHeight="15" x14ac:dyDescent="0.25"/>
  <cols>
    <col min="1" max="1" width="28.42578125" bestFit="1" customWidth="1"/>
    <col min="2" max="2" width="59.5703125" bestFit="1" customWidth="1"/>
    <col min="3" max="3" width="12.7109375" bestFit="1" customWidth="1"/>
    <col min="4" max="4" width="30.28515625" bestFit="1" customWidth="1"/>
    <col min="5" max="5" width="13.85546875" bestFit="1" customWidth="1"/>
    <col min="6" max="6" width="8.5703125" bestFit="1" customWidth="1"/>
    <col min="7" max="7" width="47.7109375" bestFit="1" customWidth="1"/>
    <col min="8" max="9" width="16.7109375" bestFit="1" customWidth="1"/>
    <col min="10" max="10" width="24.42578125" bestFit="1" customWidth="1"/>
  </cols>
  <sheetData>
    <row r="2" spans="1:10" ht="18.75" x14ac:dyDescent="0.3">
      <c r="A2" s="3" t="s">
        <v>0</v>
      </c>
      <c r="B2" s="4" t="s">
        <v>293</v>
      </c>
    </row>
    <row r="3" spans="1:10" x14ac:dyDescent="0.25">
      <c r="A3" s="3" t="s">
        <v>2</v>
      </c>
      <c r="B3" s="1" t="s">
        <v>3</v>
      </c>
    </row>
    <row r="4" spans="1:10" x14ac:dyDescent="0.25">
      <c r="A4" s="3" t="s">
        <v>4</v>
      </c>
      <c r="B4" s="20">
        <v>6251</v>
      </c>
    </row>
    <row r="7" spans="1:10" x14ac:dyDescent="0.25">
      <c r="C7" s="22" t="s">
        <v>5</v>
      </c>
      <c r="D7" s="21"/>
      <c r="E7" s="21"/>
      <c r="F7" s="21"/>
      <c r="G7" s="21"/>
    </row>
    <row r="8" spans="1:10" x14ac:dyDescent="0.25">
      <c r="A8" s="3" t="s">
        <v>6</v>
      </c>
      <c r="B8" s="3" t="s">
        <v>7</v>
      </c>
      <c r="C8" s="15" t="s">
        <v>8</v>
      </c>
      <c r="D8" s="15" t="s">
        <v>9</v>
      </c>
      <c r="E8" s="15" t="s">
        <v>10</v>
      </c>
      <c r="F8" s="15" t="s">
        <v>11</v>
      </c>
      <c r="G8" s="15" t="s">
        <v>12</v>
      </c>
      <c r="H8" s="15" t="s">
        <v>13</v>
      </c>
      <c r="I8" s="15" t="s">
        <v>14</v>
      </c>
      <c r="J8" s="15" t="s">
        <v>15</v>
      </c>
    </row>
    <row r="9" spans="1:10" x14ac:dyDescent="0.25">
      <c r="A9" s="1" t="s">
        <v>16</v>
      </c>
      <c r="B9" s="1" t="s">
        <v>17</v>
      </c>
      <c r="C9" s="11"/>
      <c r="D9" s="11"/>
      <c r="E9" s="11">
        <v>172</v>
      </c>
      <c r="F9" s="11"/>
      <c r="G9" s="11">
        <f t="shared" ref="G9:G43" si="0">SUM(C9:F9)</f>
        <v>172</v>
      </c>
      <c r="H9" s="17">
        <f t="shared" ref="H9:H43" si="1">ROUND(G9/6251,2)</f>
        <v>0.03</v>
      </c>
      <c r="I9" s="16">
        <f t="shared" ref="I9:I43" si="2">ROUND(G9/$G$44,3)</f>
        <v>0</v>
      </c>
      <c r="J9" s="16">
        <f>ROUND(G9/225-1,2)</f>
        <v>-0.24</v>
      </c>
    </row>
    <row r="10" spans="1:10" x14ac:dyDescent="0.25">
      <c r="A10" s="1" t="s">
        <v>16</v>
      </c>
      <c r="B10" s="1" t="s">
        <v>19</v>
      </c>
      <c r="C10" s="11">
        <v>141240</v>
      </c>
      <c r="D10" s="11"/>
      <c r="E10" s="11">
        <v>1450</v>
      </c>
      <c r="F10" s="11"/>
      <c r="G10" s="11">
        <f t="shared" si="0"/>
        <v>142690</v>
      </c>
      <c r="H10" s="17">
        <f t="shared" si="1"/>
        <v>22.83</v>
      </c>
      <c r="I10" s="16">
        <f t="shared" si="2"/>
        <v>5.5E-2</v>
      </c>
      <c r="J10" s="16">
        <f>ROUND(G10/141110-1,2)</f>
        <v>0.01</v>
      </c>
    </row>
    <row r="11" spans="1:10" x14ac:dyDescent="0.25">
      <c r="A11" s="1" t="s">
        <v>16</v>
      </c>
      <c r="B11" s="1" t="s">
        <v>20</v>
      </c>
      <c r="C11" s="11">
        <v>185170</v>
      </c>
      <c r="D11" s="11"/>
      <c r="E11" s="11"/>
      <c r="F11" s="11"/>
      <c r="G11" s="11">
        <f t="shared" si="0"/>
        <v>185170</v>
      </c>
      <c r="H11" s="17">
        <f t="shared" si="1"/>
        <v>29.62</v>
      </c>
      <c r="I11" s="16">
        <f t="shared" si="2"/>
        <v>7.0999999999999994E-2</v>
      </c>
      <c r="J11" s="16">
        <f>ROUND(G11/188520-1,2)</f>
        <v>-0.02</v>
      </c>
    </row>
    <row r="12" spans="1:10" x14ac:dyDescent="0.25">
      <c r="A12" s="1" t="s">
        <v>16</v>
      </c>
      <c r="B12" s="1" t="s">
        <v>87</v>
      </c>
      <c r="C12" s="11"/>
      <c r="D12" s="11"/>
      <c r="E12" s="11">
        <v>381</v>
      </c>
      <c r="F12" s="11"/>
      <c r="G12" s="11">
        <f t="shared" si="0"/>
        <v>381</v>
      </c>
      <c r="H12" s="17">
        <f t="shared" si="1"/>
        <v>0.06</v>
      </c>
      <c r="I12" s="16">
        <f t="shared" si="2"/>
        <v>0</v>
      </c>
      <c r="J12" s="16">
        <f>ROUND(G12/408-1,2)</f>
        <v>-7.0000000000000007E-2</v>
      </c>
    </row>
    <row r="13" spans="1:10" x14ac:dyDescent="0.25">
      <c r="A13" s="1" t="s">
        <v>16</v>
      </c>
      <c r="B13" s="1" t="s">
        <v>21</v>
      </c>
      <c r="C13" s="11"/>
      <c r="D13" s="11"/>
      <c r="E13" s="11">
        <v>390</v>
      </c>
      <c r="F13" s="11"/>
      <c r="G13" s="11">
        <f t="shared" si="0"/>
        <v>390</v>
      </c>
      <c r="H13" s="17">
        <f t="shared" si="1"/>
        <v>0.06</v>
      </c>
      <c r="I13" s="16">
        <f t="shared" si="2"/>
        <v>0</v>
      </c>
      <c r="J13" s="16">
        <f>ROUND(G13/497-1,2)</f>
        <v>-0.22</v>
      </c>
    </row>
    <row r="14" spans="1:10" x14ac:dyDescent="0.25">
      <c r="A14" s="1" t="s">
        <v>16</v>
      </c>
      <c r="B14" s="1" t="s">
        <v>22</v>
      </c>
      <c r="C14" s="11"/>
      <c r="D14" s="11"/>
      <c r="E14" s="11">
        <v>3200</v>
      </c>
      <c r="F14" s="11"/>
      <c r="G14" s="11">
        <f t="shared" si="0"/>
        <v>3200</v>
      </c>
      <c r="H14" s="17">
        <f t="shared" si="1"/>
        <v>0.51</v>
      </c>
      <c r="I14" s="16">
        <f t="shared" si="2"/>
        <v>1E-3</v>
      </c>
      <c r="J14" s="16">
        <f>ROUND(G14/3100-1,2)</f>
        <v>0.03</v>
      </c>
    </row>
    <row r="15" spans="1:10" x14ac:dyDescent="0.25">
      <c r="A15" s="1" t="s">
        <v>16</v>
      </c>
      <c r="B15" s="1" t="s">
        <v>23</v>
      </c>
      <c r="C15" s="11"/>
      <c r="D15" s="11"/>
      <c r="E15" s="11">
        <v>200200</v>
      </c>
      <c r="F15" s="11"/>
      <c r="G15" s="11">
        <f t="shared" si="0"/>
        <v>200200</v>
      </c>
      <c r="H15" s="17">
        <f t="shared" si="1"/>
        <v>32.03</v>
      </c>
      <c r="I15" s="16">
        <f t="shared" si="2"/>
        <v>7.6999999999999999E-2</v>
      </c>
      <c r="J15" s="16">
        <f>ROUND(G15/287480-1,2)</f>
        <v>-0.3</v>
      </c>
    </row>
    <row r="16" spans="1:10" x14ac:dyDescent="0.25">
      <c r="A16" s="1" t="s">
        <v>16</v>
      </c>
      <c r="B16" s="1" t="s">
        <v>24</v>
      </c>
      <c r="C16" s="11">
        <v>213205</v>
      </c>
      <c r="D16" s="11"/>
      <c r="E16" s="11">
        <v>26420</v>
      </c>
      <c r="F16" s="11"/>
      <c r="G16" s="11">
        <f t="shared" si="0"/>
        <v>239625</v>
      </c>
      <c r="H16" s="17">
        <f t="shared" si="1"/>
        <v>38.33</v>
      </c>
      <c r="I16" s="16">
        <f t="shared" si="2"/>
        <v>9.1999999999999998E-2</v>
      </c>
      <c r="J16" s="16">
        <f>ROUND(G16/239090-1,2)</f>
        <v>0</v>
      </c>
    </row>
    <row r="17" spans="1:10" x14ac:dyDescent="0.25">
      <c r="A17" s="1" t="s">
        <v>16</v>
      </c>
      <c r="B17" s="1" t="s">
        <v>25</v>
      </c>
      <c r="C17" s="11"/>
      <c r="D17" s="11"/>
      <c r="E17" s="11">
        <v>19710</v>
      </c>
      <c r="F17" s="11"/>
      <c r="G17" s="11">
        <f t="shared" si="0"/>
        <v>19710</v>
      </c>
      <c r="H17" s="17">
        <f t="shared" si="1"/>
        <v>3.15</v>
      </c>
      <c r="I17" s="16">
        <f t="shared" si="2"/>
        <v>8.0000000000000002E-3</v>
      </c>
      <c r="J17" s="16">
        <f>ROUND(G17/12435-1,2)</f>
        <v>0.59</v>
      </c>
    </row>
    <row r="18" spans="1:10" x14ac:dyDescent="0.25">
      <c r="A18" s="1" t="s">
        <v>16</v>
      </c>
      <c r="B18" s="1" t="s">
        <v>26</v>
      </c>
      <c r="C18" s="11">
        <v>311460</v>
      </c>
      <c r="D18" s="11"/>
      <c r="E18" s="11"/>
      <c r="F18" s="11">
        <v>1760</v>
      </c>
      <c r="G18" s="11">
        <f t="shared" si="0"/>
        <v>313220</v>
      </c>
      <c r="H18" s="17">
        <f t="shared" si="1"/>
        <v>50.11</v>
      </c>
      <c r="I18" s="16">
        <f t="shared" si="2"/>
        <v>0.12</v>
      </c>
      <c r="J18" s="16">
        <f>ROUND(G18/305580-1,2)</f>
        <v>0.03</v>
      </c>
    </row>
    <row r="19" spans="1:10" x14ac:dyDescent="0.25">
      <c r="A19" s="1" t="s">
        <v>16</v>
      </c>
      <c r="B19" s="1" t="s">
        <v>27</v>
      </c>
      <c r="C19" s="11"/>
      <c r="D19" s="11"/>
      <c r="E19" s="11">
        <v>949</v>
      </c>
      <c r="F19" s="11"/>
      <c r="G19" s="11">
        <f t="shared" si="0"/>
        <v>949</v>
      </c>
      <c r="H19" s="17">
        <f t="shared" si="1"/>
        <v>0.15</v>
      </c>
      <c r="I19" s="16">
        <f t="shared" si="2"/>
        <v>0</v>
      </c>
      <c r="J19" s="16">
        <f>ROUND(G19/805-1,2)</f>
        <v>0.18</v>
      </c>
    </row>
    <row r="20" spans="1:10" x14ac:dyDescent="0.25">
      <c r="A20" s="1" t="s">
        <v>16</v>
      </c>
      <c r="B20" s="1" t="s">
        <v>28</v>
      </c>
      <c r="C20" s="11"/>
      <c r="D20" s="11"/>
      <c r="E20" s="11">
        <v>473</v>
      </c>
      <c r="F20" s="11"/>
      <c r="G20" s="11">
        <f t="shared" si="0"/>
        <v>473</v>
      </c>
      <c r="H20" s="17">
        <f t="shared" si="1"/>
        <v>0.08</v>
      </c>
      <c r="I20" s="16">
        <f t="shared" si="2"/>
        <v>0</v>
      </c>
      <c r="J20" s="16">
        <f>ROUND(G20/351-1,2)</f>
        <v>0.35</v>
      </c>
    </row>
    <row r="21" spans="1:10" x14ac:dyDescent="0.25">
      <c r="A21" s="1" t="s">
        <v>16</v>
      </c>
      <c r="B21" s="1" t="s">
        <v>31</v>
      </c>
      <c r="C21" s="11"/>
      <c r="D21" s="11"/>
      <c r="E21" s="11">
        <v>1750</v>
      </c>
      <c r="F21" s="11"/>
      <c r="G21" s="11">
        <f t="shared" si="0"/>
        <v>1750</v>
      </c>
      <c r="H21" s="17">
        <f t="shared" si="1"/>
        <v>0.28000000000000003</v>
      </c>
      <c r="I21" s="16">
        <f t="shared" si="2"/>
        <v>1E-3</v>
      </c>
      <c r="J21" s="16">
        <f>ROUND(G21/2760-1,2)</f>
        <v>-0.37</v>
      </c>
    </row>
    <row r="22" spans="1:10" x14ac:dyDescent="0.25">
      <c r="A22" s="1" t="s">
        <v>16</v>
      </c>
      <c r="B22" s="1" t="s">
        <v>32</v>
      </c>
      <c r="C22" s="11"/>
      <c r="D22" s="11"/>
      <c r="E22" s="11">
        <v>1450</v>
      </c>
      <c r="F22" s="11"/>
      <c r="G22" s="11">
        <f t="shared" si="0"/>
        <v>1450</v>
      </c>
      <c r="H22" s="17">
        <f t="shared" si="1"/>
        <v>0.23</v>
      </c>
      <c r="I22" s="16">
        <f t="shared" si="2"/>
        <v>1E-3</v>
      </c>
      <c r="J22" s="16">
        <f>ROUND(G22/1370-1,2)</f>
        <v>0.06</v>
      </c>
    </row>
    <row r="23" spans="1:10" x14ac:dyDescent="0.25">
      <c r="A23" s="1" t="s">
        <v>16</v>
      </c>
      <c r="B23" s="1" t="s">
        <v>33</v>
      </c>
      <c r="C23" s="11"/>
      <c r="D23" s="11"/>
      <c r="E23" s="11">
        <v>6632</v>
      </c>
      <c r="F23" s="11"/>
      <c r="G23" s="11">
        <f t="shared" si="0"/>
        <v>6632</v>
      </c>
      <c r="H23" s="17">
        <f t="shared" si="1"/>
        <v>1.06</v>
      </c>
      <c r="I23" s="16">
        <f t="shared" si="2"/>
        <v>3.0000000000000001E-3</v>
      </c>
      <c r="J23" s="16">
        <f>ROUND(G23/6250-1,2)</f>
        <v>0.06</v>
      </c>
    </row>
    <row r="24" spans="1:10" x14ac:dyDescent="0.25">
      <c r="A24" s="1" t="s">
        <v>16</v>
      </c>
      <c r="B24" s="1" t="s">
        <v>34</v>
      </c>
      <c r="C24" s="11"/>
      <c r="D24" s="11">
        <v>241</v>
      </c>
      <c r="E24" s="11">
        <v>110</v>
      </c>
      <c r="F24" s="11"/>
      <c r="G24" s="11">
        <f t="shared" si="0"/>
        <v>351</v>
      </c>
      <c r="H24" s="17">
        <f t="shared" si="1"/>
        <v>0.06</v>
      </c>
      <c r="I24" s="16">
        <f t="shared" si="2"/>
        <v>0</v>
      </c>
      <c r="J24" s="16">
        <f>ROUND(G24/300-1,2)</f>
        <v>0.17</v>
      </c>
    </row>
    <row r="25" spans="1:10" x14ac:dyDescent="0.25">
      <c r="A25" s="1" t="s">
        <v>16</v>
      </c>
      <c r="B25" s="1" t="s">
        <v>36</v>
      </c>
      <c r="C25" s="11"/>
      <c r="D25" s="11"/>
      <c r="E25" s="11">
        <v>790</v>
      </c>
      <c r="F25" s="11"/>
      <c r="G25" s="11">
        <f t="shared" si="0"/>
        <v>790</v>
      </c>
      <c r="H25" s="17">
        <f t="shared" si="1"/>
        <v>0.13</v>
      </c>
      <c r="I25" s="16">
        <f t="shared" si="2"/>
        <v>0</v>
      </c>
      <c r="J25" s="16">
        <f>ROUND(G25/210-1,2)</f>
        <v>2.76</v>
      </c>
    </row>
    <row r="26" spans="1:10" x14ac:dyDescent="0.25">
      <c r="A26" s="1" t="s">
        <v>16</v>
      </c>
      <c r="B26" s="1" t="s">
        <v>35</v>
      </c>
      <c r="C26" s="11"/>
      <c r="D26" s="11"/>
      <c r="E26" s="11">
        <v>2295</v>
      </c>
      <c r="F26" s="11"/>
      <c r="G26" s="11">
        <f t="shared" si="0"/>
        <v>2295</v>
      </c>
      <c r="H26" s="17">
        <f t="shared" si="1"/>
        <v>0.37</v>
      </c>
      <c r="I26" s="16">
        <f t="shared" si="2"/>
        <v>1E-3</v>
      </c>
      <c r="J26" s="16">
        <f>ROUND(G26/620-1,2)</f>
        <v>2.7</v>
      </c>
    </row>
    <row r="27" spans="1:10" x14ac:dyDescent="0.25">
      <c r="A27" s="1" t="s">
        <v>16</v>
      </c>
      <c r="B27" s="1" t="s">
        <v>40</v>
      </c>
      <c r="C27" s="11"/>
      <c r="D27" s="11"/>
      <c r="E27" s="11">
        <v>232020</v>
      </c>
      <c r="F27" s="11"/>
      <c r="G27" s="11">
        <f t="shared" si="0"/>
        <v>232020</v>
      </c>
      <c r="H27" s="17">
        <f t="shared" si="1"/>
        <v>37.119999999999997</v>
      </c>
      <c r="I27" s="16">
        <f t="shared" si="2"/>
        <v>8.8999999999999996E-2</v>
      </c>
      <c r="J27" s="16">
        <f>ROUND(G27/207815-1,2)</f>
        <v>0.12</v>
      </c>
    </row>
    <row r="28" spans="1:10" x14ac:dyDescent="0.25">
      <c r="A28" s="1" t="s">
        <v>16</v>
      </c>
      <c r="B28" s="1" t="s">
        <v>41</v>
      </c>
      <c r="C28" s="11"/>
      <c r="D28" s="11"/>
      <c r="E28" s="11">
        <v>30900</v>
      </c>
      <c r="F28" s="11"/>
      <c r="G28" s="11">
        <f t="shared" si="0"/>
        <v>30900</v>
      </c>
      <c r="H28" s="17">
        <f t="shared" si="1"/>
        <v>4.9400000000000004</v>
      </c>
      <c r="I28" s="16">
        <f t="shared" si="2"/>
        <v>1.2E-2</v>
      </c>
      <c r="J28" s="16">
        <f>ROUND(G28/31920-1,2)</f>
        <v>-0.03</v>
      </c>
    </row>
    <row r="29" spans="1:10" x14ac:dyDescent="0.25">
      <c r="A29" s="1" t="s">
        <v>16</v>
      </c>
      <c r="B29" s="1" t="s">
        <v>42</v>
      </c>
      <c r="C29" s="11"/>
      <c r="D29" s="11"/>
      <c r="E29" s="11">
        <v>49340</v>
      </c>
      <c r="F29" s="11"/>
      <c r="G29" s="11">
        <f t="shared" si="0"/>
        <v>49340</v>
      </c>
      <c r="H29" s="17">
        <f t="shared" si="1"/>
        <v>7.89</v>
      </c>
      <c r="I29" s="16">
        <f t="shared" si="2"/>
        <v>1.9E-2</v>
      </c>
      <c r="J29" s="16">
        <f>ROUND(G29/51970-1,2)</f>
        <v>-0.05</v>
      </c>
    </row>
    <row r="30" spans="1:10" x14ac:dyDescent="0.25">
      <c r="A30" s="1" t="s">
        <v>16</v>
      </c>
      <c r="B30" s="1" t="s">
        <v>44</v>
      </c>
      <c r="C30" s="11"/>
      <c r="D30" s="11">
        <v>191260</v>
      </c>
      <c r="E30" s="11">
        <v>403750</v>
      </c>
      <c r="F30" s="11"/>
      <c r="G30" s="11">
        <f t="shared" si="0"/>
        <v>595010</v>
      </c>
      <c r="H30" s="17">
        <f t="shared" si="1"/>
        <v>95.19</v>
      </c>
      <c r="I30" s="16">
        <f t="shared" si="2"/>
        <v>0.22800000000000001</v>
      </c>
      <c r="J30" s="16">
        <f>ROUND(G30/577780-1,2)</f>
        <v>0.03</v>
      </c>
    </row>
    <row r="31" spans="1:10" x14ac:dyDescent="0.25">
      <c r="A31" s="1" t="s">
        <v>16</v>
      </c>
      <c r="B31" s="1" t="s">
        <v>224</v>
      </c>
      <c r="C31" s="11"/>
      <c r="D31" s="11"/>
      <c r="E31" s="11"/>
      <c r="F31" s="11"/>
      <c r="G31" s="11">
        <f t="shared" si="0"/>
        <v>0</v>
      </c>
      <c r="H31" s="17">
        <f t="shared" si="1"/>
        <v>0</v>
      </c>
      <c r="I31" s="16">
        <f t="shared" si="2"/>
        <v>0</v>
      </c>
      <c r="J31" s="16">
        <f>ROUND(G31/2570-1,2)</f>
        <v>-1</v>
      </c>
    </row>
    <row r="32" spans="1:10" x14ac:dyDescent="0.25">
      <c r="A32" s="1" t="s">
        <v>16</v>
      </c>
      <c r="B32" s="1" t="s">
        <v>29</v>
      </c>
      <c r="C32" s="11"/>
      <c r="D32" s="11"/>
      <c r="E32" s="11"/>
      <c r="F32" s="11"/>
      <c r="G32" s="11">
        <f t="shared" si="0"/>
        <v>0</v>
      </c>
      <c r="H32" s="17">
        <f t="shared" si="1"/>
        <v>0</v>
      </c>
      <c r="I32" s="16">
        <f t="shared" si="2"/>
        <v>0</v>
      </c>
      <c r="J32" s="16">
        <f>ROUND(G32/300-1,2)</f>
        <v>-1</v>
      </c>
    </row>
    <row r="33" spans="1:10" x14ac:dyDescent="0.25">
      <c r="A33" s="1" t="s">
        <v>16</v>
      </c>
      <c r="B33" s="1" t="s">
        <v>30</v>
      </c>
      <c r="C33" s="11"/>
      <c r="D33" s="11"/>
      <c r="E33" s="11"/>
      <c r="F33" s="11"/>
      <c r="G33" s="11">
        <f t="shared" si="0"/>
        <v>0</v>
      </c>
      <c r="H33" s="17">
        <f t="shared" si="1"/>
        <v>0</v>
      </c>
      <c r="I33" s="16">
        <f t="shared" si="2"/>
        <v>0</v>
      </c>
      <c r="J33" s="16">
        <f>ROUND(G33/16790-1,2)</f>
        <v>-1</v>
      </c>
    </row>
    <row r="34" spans="1:10" x14ac:dyDescent="0.25">
      <c r="A34" s="1" t="s">
        <v>16</v>
      </c>
      <c r="B34" s="1" t="s">
        <v>37</v>
      </c>
      <c r="C34" s="11"/>
      <c r="D34" s="11"/>
      <c r="E34" s="11"/>
      <c r="F34" s="11"/>
      <c r="G34" s="11">
        <f t="shared" si="0"/>
        <v>0</v>
      </c>
      <c r="H34" s="17">
        <f t="shared" si="1"/>
        <v>0</v>
      </c>
      <c r="I34" s="16">
        <f t="shared" si="2"/>
        <v>0</v>
      </c>
      <c r="J34" s="16">
        <f>ROUND(G34/7950-1,2)</f>
        <v>-1</v>
      </c>
    </row>
    <row r="35" spans="1:10" x14ac:dyDescent="0.25">
      <c r="A35" s="1" t="s">
        <v>16</v>
      </c>
      <c r="B35" s="1" t="s">
        <v>39</v>
      </c>
      <c r="C35" s="11"/>
      <c r="D35" s="11"/>
      <c r="E35" s="11"/>
      <c r="F35" s="11"/>
      <c r="G35" s="11">
        <f t="shared" si="0"/>
        <v>0</v>
      </c>
      <c r="H35" s="17">
        <f t="shared" si="1"/>
        <v>0</v>
      </c>
      <c r="I35" s="16">
        <f t="shared" si="2"/>
        <v>0</v>
      </c>
      <c r="J35" s="16">
        <f>ROUND(G35/17294-1,2)</f>
        <v>-1</v>
      </c>
    </row>
    <row r="36" spans="1:10" x14ac:dyDescent="0.25">
      <c r="A36" s="1" t="s">
        <v>16</v>
      </c>
      <c r="B36" s="1" t="s">
        <v>38</v>
      </c>
      <c r="C36" s="11"/>
      <c r="D36" s="11"/>
      <c r="E36" s="11"/>
      <c r="F36" s="11"/>
      <c r="G36" s="11">
        <f t="shared" si="0"/>
        <v>0</v>
      </c>
      <c r="H36" s="17">
        <f t="shared" si="1"/>
        <v>0</v>
      </c>
      <c r="I36" s="16">
        <f t="shared" si="2"/>
        <v>0</v>
      </c>
      <c r="J36" s="16">
        <f>ROUND(G36/13630-1,2)</f>
        <v>-1</v>
      </c>
    </row>
    <row r="37" spans="1:10" x14ac:dyDescent="0.25">
      <c r="A37" s="1" t="s">
        <v>16</v>
      </c>
      <c r="B37" s="1" t="s">
        <v>145</v>
      </c>
      <c r="C37" s="11"/>
      <c r="D37" s="11"/>
      <c r="E37" s="11"/>
      <c r="F37" s="11"/>
      <c r="G37" s="11">
        <f t="shared" si="0"/>
        <v>0</v>
      </c>
      <c r="H37" s="17">
        <f t="shared" si="1"/>
        <v>0</v>
      </c>
      <c r="I37" s="16">
        <f t="shared" si="2"/>
        <v>0</v>
      </c>
      <c r="J37" s="16"/>
    </row>
    <row r="38" spans="1:10" x14ac:dyDescent="0.25">
      <c r="A38" s="1" t="s">
        <v>45</v>
      </c>
      <c r="B38" s="1" t="s">
        <v>46</v>
      </c>
      <c r="C38" s="11">
        <v>399350</v>
      </c>
      <c r="D38" s="11"/>
      <c r="E38" s="11"/>
      <c r="F38" s="11">
        <v>4940</v>
      </c>
      <c r="G38" s="11">
        <f t="shared" si="0"/>
        <v>404290</v>
      </c>
      <c r="H38" s="17">
        <f t="shared" si="1"/>
        <v>64.680000000000007</v>
      </c>
      <c r="I38" s="16">
        <f t="shared" si="2"/>
        <v>0.155</v>
      </c>
      <c r="J38" s="16">
        <f>ROUND(G38/425090-1,2)</f>
        <v>-0.05</v>
      </c>
    </row>
    <row r="39" spans="1:10" x14ac:dyDescent="0.25">
      <c r="A39" s="1" t="s">
        <v>45</v>
      </c>
      <c r="B39" s="1" t="s">
        <v>48</v>
      </c>
      <c r="C39" s="11"/>
      <c r="D39" s="11"/>
      <c r="E39" s="11"/>
      <c r="F39" s="11">
        <v>56100</v>
      </c>
      <c r="G39" s="11">
        <f t="shared" si="0"/>
        <v>56100</v>
      </c>
      <c r="H39" s="17">
        <f t="shared" si="1"/>
        <v>8.9700000000000006</v>
      </c>
      <c r="I39" s="16">
        <f t="shared" si="2"/>
        <v>2.1000000000000001E-2</v>
      </c>
      <c r="J39" s="16">
        <f>ROUND(G39/70625-1,2)</f>
        <v>-0.21</v>
      </c>
    </row>
    <row r="40" spans="1:10" x14ac:dyDescent="0.25">
      <c r="A40" s="1" t="s">
        <v>45</v>
      </c>
      <c r="B40" s="1" t="s">
        <v>47</v>
      </c>
      <c r="C40" s="11"/>
      <c r="D40" s="11"/>
      <c r="E40" s="11">
        <v>126140</v>
      </c>
      <c r="F40" s="11"/>
      <c r="G40" s="11">
        <f t="shared" si="0"/>
        <v>126140</v>
      </c>
      <c r="H40" s="17">
        <f t="shared" si="1"/>
        <v>20.18</v>
      </c>
      <c r="I40" s="16">
        <f t="shared" si="2"/>
        <v>4.8000000000000001E-2</v>
      </c>
      <c r="J40" s="16">
        <f>ROUND(G40/132530-1,2)</f>
        <v>-0.05</v>
      </c>
    </row>
    <row r="41" spans="1:10" x14ac:dyDescent="0.25">
      <c r="A41" s="1" t="s">
        <v>49</v>
      </c>
      <c r="B41" s="1" t="s">
        <v>52</v>
      </c>
      <c r="C41" s="11"/>
      <c r="D41" s="11"/>
      <c r="E41" s="11"/>
      <c r="F41" s="11"/>
      <c r="G41" s="11">
        <f t="shared" si="0"/>
        <v>0</v>
      </c>
      <c r="H41" s="17">
        <f t="shared" si="1"/>
        <v>0</v>
      </c>
      <c r="I41" s="16">
        <f t="shared" si="2"/>
        <v>0</v>
      </c>
      <c r="J41" s="16"/>
    </row>
    <row r="42" spans="1:10" x14ac:dyDescent="0.25">
      <c r="A42" s="1" t="s">
        <v>49</v>
      </c>
      <c r="B42" s="1" t="s">
        <v>50</v>
      </c>
      <c r="C42" s="11"/>
      <c r="D42" s="11"/>
      <c r="E42" s="11"/>
      <c r="F42" s="11"/>
      <c r="G42" s="11">
        <f t="shared" si="0"/>
        <v>0</v>
      </c>
      <c r="H42" s="17">
        <f t="shared" si="1"/>
        <v>0</v>
      </c>
      <c r="I42" s="16">
        <f t="shared" si="2"/>
        <v>0</v>
      </c>
      <c r="J42" s="16">
        <f>ROUND(G42/15095-1,2)</f>
        <v>-1</v>
      </c>
    </row>
    <row r="43" spans="1:10" x14ac:dyDescent="0.25">
      <c r="A43" s="1" t="s">
        <v>49</v>
      </c>
      <c r="B43" s="1" t="s">
        <v>88</v>
      </c>
      <c r="C43" s="11"/>
      <c r="D43" s="11"/>
      <c r="E43" s="11"/>
      <c r="F43" s="11"/>
      <c r="G43" s="11">
        <f t="shared" si="0"/>
        <v>0</v>
      </c>
      <c r="H43" s="17">
        <f t="shared" si="1"/>
        <v>0</v>
      </c>
      <c r="I43" s="16">
        <f t="shared" si="2"/>
        <v>0</v>
      </c>
      <c r="J43" s="16"/>
    </row>
    <row r="44" spans="1:10" x14ac:dyDescent="0.25">
      <c r="A44" s="26" t="s">
        <v>12</v>
      </c>
      <c r="B44" s="26"/>
      <c r="C44" s="12">
        <f t="shared" ref="C44:H44" si="3">SUM(C8:C43)</f>
        <v>1250425</v>
      </c>
      <c r="D44" s="12">
        <f t="shared" si="3"/>
        <v>191501</v>
      </c>
      <c r="E44" s="12">
        <f t="shared" si="3"/>
        <v>1108522</v>
      </c>
      <c r="F44" s="12">
        <f t="shared" si="3"/>
        <v>62800</v>
      </c>
      <c r="G44" s="12">
        <f t="shared" si="3"/>
        <v>2613248</v>
      </c>
      <c r="H44" s="15">
        <f t="shared" si="3"/>
        <v>418.06000000000006</v>
      </c>
      <c r="I44" s="18"/>
      <c r="J44" s="18"/>
    </row>
    <row r="45" spans="1:10" x14ac:dyDescent="0.25">
      <c r="A45" s="26" t="s">
        <v>14</v>
      </c>
      <c r="B45" s="26"/>
      <c r="C45" s="13">
        <f>ROUND(C44/G44,2)</f>
        <v>0.48</v>
      </c>
      <c r="D45" s="13">
        <f>ROUND(D44/G44,2)</f>
        <v>7.0000000000000007E-2</v>
      </c>
      <c r="E45" s="13">
        <f>ROUND(E44/G44,2)</f>
        <v>0.42</v>
      </c>
      <c r="F45" s="13">
        <f>ROUND(F44/G44,2)</f>
        <v>0.02</v>
      </c>
      <c r="G45" s="14"/>
      <c r="H45" s="14"/>
      <c r="I45" s="18"/>
      <c r="J45" s="18"/>
    </row>
    <row r="46" spans="1:10" x14ac:dyDescent="0.25">
      <c r="A46" s="2" t="s">
        <v>53</v>
      </c>
      <c r="B46" s="2"/>
      <c r="C46" s="14"/>
      <c r="D46" s="14"/>
      <c r="E46" s="14"/>
      <c r="F46" s="14"/>
      <c r="G46" s="14"/>
      <c r="H46" s="14"/>
      <c r="I46" s="18"/>
      <c r="J46" s="18"/>
    </row>
    <row r="47" spans="1:10" x14ac:dyDescent="0.25">
      <c r="C47" s="9"/>
      <c r="D47" s="9"/>
      <c r="E47" s="9"/>
      <c r="F47" s="9"/>
      <c r="G47" s="9"/>
      <c r="H47" s="9"/>
      <c r="I47" s="10"/>
      <c r="J47" s="10"/>
    </row>
    <row r="48" spans="1:10" x14ac:dyDescent="0.25">
      <c r="C48" s="9"/>
      <c r="D48" s="9"/>
      <c r="E48" s="9"/>
      <c r="F48" s="9"/>
      <c r="G48" s="9"/>
      <c r="H48" s="9"/>
      <c r="I48" s="10"/>
      <c r="J48" s="10"/>
    </row>
    <row r="49" spans="1:10" x14ac:dyDescent="0.25">
      <c r="C49" s="9"/>
      <c r="D49" s="9"/>
      <c r="E49" s="9"/>
      <c r="F49" s="9"/>
      <c r="G49" s="9"/>
      <c r="H49" s="9"/>
      <c r="I49" s="10"/>
      <c r="J49" s="10"/>
    </row>
    <row r="50" spans="1:10" x14ac:dyDescent="0.25">
      <c r="A50" s="26" t="s">
        <v>54</v>
      </c>
      <c r="B50" s="26"/>
      <c r="C50" s="12" t="s">
        <v>8</v>
      </c>
      <c r="D50" s="12" t="s">
        <v>9</v>
      </c>
      <c r="E50" s="12" t="s">
        <v>10</v>
      </c>
      <c r="F50" s="12" t="s">
        <v>11</v>
      </c>
      <c r="G50" s="12" t="s">
        <v>12</v>
      </c>
      <c r="H50" s="15" t="s">
        <v>13</v>
      </c>
      <c r="I50" s="18"/>
      <c r="J50" s="18"/>
    </row>
    <row r="51" spans="1:10" x14ac:dyDescent="0.25">
      <c r="A51" s="21" t="s">
        <v>55</v>
      </c>
      <c r="B51" s="21"/>
      <c r="C51" s="11">
        <v>851075</v>
      </c>
      <c r="D51" s="11">
        <v>191501</v>
      </c>
      <c r="E51" s="11">
        <v>982382</v>
      </c>
      <c r="F51" s="11">
        <v>1760</v>
      </c>
      <c r="G51" s="11">
        <f>SUM(C51:F51)</f>
        <v>2026718</v>
      </c>
      <c r="H51" s="17">
        <f>ROUND(G51/6251,2)</f>
        <v>324.22000000000003</v>
      </c>
      <c r="I51" s="10"/>
      <c r="J51" s="10"/>
    </row>
    <row r="52" spans="1:10" x14ac:dyDescent="0.25">
      <c r="A52" s="21" t="s">
        <v>56</v>
      </c>
      <c r="B52" s="21"/>
      <c r="C52" s="11">
        <v>399350</v>
      </c>
      <c r="D52" s="11">
        <v>0</v>
      </c>
      <c r="E52" s="11">
        <v>126140</v>
      </c>
      <c r="F52" s="11">
        <v>61040</v>
      </c>
      <c r="G52" s="11">
        <f>SUM(C52:F52)</f>
        <v>586530</v>
      </c>
      <c r="H52" s="17">
        <f>ROUND(G52/6251,2)</f>
        <v>93.83</v>
      </c>
      <c r="I52" s="10"/>
      <c r="J52" s="10"/>
    </row>
    <row r="53" spans="1:10" x14ac:dyDescent="0.25">
      <c r="A53" s="21" t="s">
        <v>57</v>
      </c>
      <c r="B53" s="21"/>
      <c r="C53" s="11">
        <v>0</v>
      </c>
      <c r="D53" s="11">
        <v>0</v>
      </c>
      <c r="E53" s="11">
        <v>0</v>
      </c>
      <c r="F53" s="11">
        <v>0</v>
      </c>
      <c r="G53" s="11">
        <f>SUM(C53:F53)</f>
        <v>0</v>
      </c>
      <c r="H53" s="17">
        <f>ROUND(G53/6251,2)</f>
        <v>0</v>
      </c>
      <c r="I53" s="10"/>
      <c r="J53" s="10"/>
    </row>
    <row r="54" spans="1:10" x14ac:dyDescent="0.25">
      <c r="C54" s="9"/>
      <c r="D54" s="9"/>
      <c r="E54" s="9"/>
      <c r="F54" s="9"/>
      <c r="G54" s="9"/>
      <c r="H54" s="9"/>
      <c r="I54" s="10"/>
      <c r="J54" s="10"/>
    </row>
    <row r="55" spans="1:10" x14ac:dyDescent="0.25">
      <c r="C55" s="9"/>
      <c r="D55" s="9"/>
      <c r="E55" s="9"/>
      <c r="F55" s="9"/>
      <c r="G55" s="9"/>
      <c r="H55" s="9"/>
      <c r="I55" s="10"/>
      <c r="J55" s="10"/>
    </row>
    <row r="56" spans="1:10" x14ac:dyDescent="0.25">
      <c r="C56" s="9"/>
      <c r="D56" s="9"/>
      <c r="E56" s="9"/>
      <c r="F56" s="9"/>
      <c r="G56" s="9"/>
      <c r="H56" s="9"/>
      <c r="I56" s="10"/>
      <c r="J56" s="10"/>
    </row>
    <row r="57" spans="1:10" x14ac:dyDescent="0.25">
      <c r="C57" s="9"/>
      <c r="D57" s="9"/>
      <c r="E57" s="9"/>
      <c r="F57" s="9"/>
      <c r="G57" s="9"/>
      <c r="H57" s="9"/>
      <c r="I57" s="10"/>
      <c r="J57" s="10"/>
    </row>
    <row r="58" spans="1:10" x14ac:dyDescent="0.25">
      <c r="A58" s="26" t="s">
        <v>58</v>
      </c>
      <c r="B58" s="26"/>
      <c r="C58" s="15" t="s">
        <v>2</v>
      </c>
      <c r="D58" s="15">
        <v>2024</v>
      </c>
      <c r="E58" s="15" t="s">
        <v>60</v>
      </c>
      <c r="F58" s="14"/>
      <c r="G58" s="15" t="s">
        <v>61</v>
      </c>
      <c r="H58" s="15" t="s">
        <v>2</v>
      </c>
      <c r="I58" s="13" t="s">
        <v>62</v>
      </c>
      <c r="J58" s="13" t="s">
        <v>60</v>
      </c>
    </row>
    <row r="59" spans="1:10" x14ac:dyDescent="0.25">
      <c r="A59" s="21" t="s">
        <v>59</v>
      </c>
      <c r="B59" s="21"/>
      <c r="C59" s="16">
        <f>ROUND(0.8322, 4)</f>
        <v>0.83220000000000005</v>
      </c>
      <c r="D59" s="16">
        <f>ROUND(0.8251, 4)</f>
        <v>0.82509999999999994</v>
      </c>
      <c r="E59" s="16">
        <f>ROUND(0.7856, 4)</f>
        <v>0.78559999999999997</v>
      </c>
      <c r="F59" s="9"/>
      <c r="G59" s="15" t="s">
        <v>63</v>
      </c>
      <c r="H59" s="27" t="s">
        <v>64</v>
      </c>
      <c r="I59" s="24" t="s">
        <v>65</v>
      </c>
      <c r="J59" s="24" t="s">
        <v>66</v>
      </c>
    </row>
    <row r="60" spans="1:10" x14ac:dyDescent="0.25">
      <c r="A60" s="21" t="s">
        <v>67</v>
      </c>
      <c r="B60" s="21"/>
      <c r="C60" s="16">
        <f>ROUND(0.8322, 4)</f>
        <v>0.83220000000000005</v>
      </c>
      <c r="D60" s="16">
        <f>ROUND(0.8178, 4)</f>
        <v>0.81779999999999997</v>
      </c>
      <c r="E60" s="16">
        <f>ROUND(0.7702, 4)</f>
        <v>0.7702</v>
      </c>
      <c r="F60" s="9"/>
      <c r="G60" s="15" t="s">
        <v>68</v>
      </c>
      <c r="H60" s="28"/>
      <c r="I60" s="25"/>
      <c r="J60" s="25"/>
    </row>
    <row r="61" spans="1:10" x14ac:dyDescent="0.25">
      <c r="C61" s="9"/>
      <c r="D61" s="9"/>
      <c r="E61" s="9"/>
      <c r="F61" s="9"/>
      <c r="G61" s="9"/>
      <c r="H61" s="9"/>
      <c r="I61" s="10"/>
      <c r="J61" s="10"/>
    </row>
    <row r="62" spans="1:10" x14ac:dyDescent="0.25">
      <c r="C62" s="9"/>
      <c r="D62" s="9"/>
      <c r="E62" s="9"/>
      <c r="F62" s="9"/>
      <c r="G62" s="9"/>
      <c r="H62" s="9"/>
      <c r="I62" s="10"/>
      <c r="J62" s="10"/>
    </row>
    <row r="63" spans="1:10" x14ac:dyDescent="0.25">
      <c r="C63" s="9"/>
      <c r="D63" s="9"/>
      <c r="E63" s="9"/>
      <c r="F63" s="9"/>
      <c r="G63" s="9"/>
      <c r="H63" s="9"/>
      <c r="I63" s="10"/>
      <c r="J63" s="10"/>
    </row>
    <row r="64" spans="1:10" x14ac:dyDescent="0.25">
      <c r="A64" s="26" t="s">
        <v>69</v>
      </c>
      <c r="B64" s="26"/>
      <c r="C64" s="15" t="s">
        <v>2</v>
      </c>
      <c r="D64" s="15" t="s">
        <v>294</v>
      </c>
      <c r="E64" s="15" t="s">
        <v>71</v>
      </c>
      <c r="F64" s="15" t="s">
        <v>72</v>
      </c>
      <c r="G64" s="15" t="s">
        <v>73</v>
      </c>
      <c r="H64" s="14"/>
      <c r="I64" s="18"/>
      <c r="J64" s="18"/>
    </row>
    <row r="65" spans="1:10" x14ac:dyDescent="0.25">
      <c r="A65" s="21" t="s">
        <v>74</v>
      </c>
      <c r="B65" s="21"/>
      <c r="C65" s="17">
        <v>64.680000000000007</v>
      </c>
      <c r="D65" s="17">
        <v>75.36</v>
      </c>
      <c r="E65" s="17">
        <v>96.15</v>
      </c>
      <c r="F65" s="17">
        <v>57.94</v>
      </c>
      <c r="G65" s="17">
        <f>12/12*C65</f>
        <v>64.680000000000007</v>
      </c>
      <c r="H65" s="9"/>
      <c r="I65" s="10"/>
      <c r="J65" s="10"/>
    </row>
    <row r="66" spans="1:10" x14ac:dyDescent="0.25">
      <c r="A66" s="21" t="s">
        <v>75</v>
      </c>
      <c r="B66" s="21"/>
      <c r="C66" s="17">
        <v>50.11</v>
      </c>
      <c r="D66" s="17">
        <v>56.65</v>
      </c>
      <c r="E66" s="17">
        <v>62.28</v>
      </c>
      <c r="F66" s="17">
        <v>66.599999999999994</v>
      </c>
      <c r="G66" s="17">
        <f>12/12*C66</f>
        <v>50.11</v>
      </c>
      <c r="H66" s="9"/>
      <c r="I66" s="10"/>
      <c r="J66" s="10"/>
    </row>
    <row r="67" spans="1:10" x14ac:dyDescent="0.25">
      <c r="A67" s="21" t="s">
        <v>76</v>
      </c>
      <c r="B67" s="21"/>
      <c r="C67" s="17">
        <v>324.22000000000003</v>
      </c>
      <c r="D67" s="17">
        <v>369.25</v>
      </c>
      <c r="E67" s="17">
        <v>300.02</v>
      </c>
      <c r="F67" s="17">
        <v>295.08</v>
      </c>
      <c r="G67" s="17">
        <f>12/12*C67</f>
        <v>324.22000000000003</v>
      </c>
      <c r="H67" s="9"/>
      <c r="I67" s="10"/>
      <c r="J67" s="10"/>
    </row>
    <row r="68" spans="1:10" x14ac:dyDescent="0.25">
      <c r="A68" s="21" t="s">
        <v>77</v>
      </c>
      <c r="B68" s="21"/>
      <c r="C68" s="17">
        <v>93.83</v>
      </c>
      <c r="D68" s="17">
        <v>112.71</v>
      </c>
      <c r="E68" s="17">
        <v>120.96</v>
      </c>
      <c r="F68" s="17">
        <v>83.12</v>
      </c>
      <c r="G68" s="17">
        <f>12/12*C68</f>
        <v>93.83</v>
      </c>
      <c r="H68" s="9"/>
      <c r="I68" s="10"/>
      <c r="J68" s="10"/>
    </row>
    <row r="69" spans="1:10" x14ac:dyDescent="0.25">
      <c r="C69" s="9"/>
      <c r="D69" s="9"/>
      <c r="E69" s="9"/>
      <c r="F69" s="9"/>
      <c r="G69" s="9"/>
      <c r="H69" s="9"/>
      <c r="I69" s="10"/>
      <c r="J69" s="10"/>
    </row>
    <row r="70" spans="1:10" x14ac:dyDescent="0.25">
      <c r="C70" s="9"/>
      <c r="D70" s="9"/>
      <c r="E70" s="9"/>
      <c r="F70" s="9"/>
      <c r="G70" s="9"/>
      <c r="H70" s="9"/>
      <c r="I70" s="10"/>
      <c r="J70" s="10"/>
    </row>
    <row r="71" spans="1:10" x14ac:dyDescent="0.25">
      <c r="A71" s="22" t="s">
        <v>61</v>
      </c>
      <c r="B71" s="23"/>
      <c r="C71" s="9"/>
      <c r="D71" s="9"/>
      <c r="E71" s="9"/>
      <c r="F71" s="9"/>
      <c r="G71" s="9"/>
      <c r="H71" s="9"/>
      <c r="I71" s="10"/>
      <c r="J71" s="10"/>
    </row>
    <row r="72" spans="1:10" x14ac:dyDescent="0.25">
      <c r="A72" s="3" t="s">
        <v>78</v>
      </c>
      <c r="B72" s="1" t="s">
        <v>295</v>
      </c>
      <c r="C72" s="9"/>
      <c r="D72" s="9"/>
      <c r="E72" s="9"/>
      <c r="F72" s="9"/>
      <c r="G72" s="9"/>
      <c r="H72" s="9"/>
      <c r="I72" s="10"/>
      <c r="J72" s="10"/>
    </row>
    <row r="73" spans="1:10" x14ac:dyDescent="0.25">
      <c r="A73" s="3" t="s">
        <v>71</v>
      </c>
      <c r="B73" s="1" t="s">
        <v>80</v>
      </c>
    </row>
    <row r="74" spans="1:10" x14ac:dyDescent="0.25">
      <c r="A74" s="3" t="s">
        <v>72</v>
      </c>
      <c r="B74" s="1" t="s">
        <v>81</v>
      </c>
    </row>
    <row r="75" spans="1:10" x14ac:dyDescent="0.25">
      <c r="A75" s="3" t="s">
        <v>73</v>
      </c>
      <c r="B75" s="1" t="s">
        <v>82</v>
      </c>
    </row>
  </sheetData>
  <mergeCells count="19">
    <mergeCell ref="C7:G7"/>
    <mergeCell ref="A44:B44"/>
    <mergeCell ref="A45:B45"/>
    <mergeCell ref="A50:B50"/>
    <mergeCell ref="A51:B51"/>
    <mergeCell ref="J59:J60"/>
    <mergeCell ref="A60:B60"/>
    <mergeCell ref="A64:B64"/>
    <mergeCell ref="A65:B65"/>
    <mergeCell ref="A52:B52"/>
    <mergeCell ref="A53:B53"/>
    <mergeCell ref="A58:B58"/>
    <mergeCell ref="A59:B59"/>
    <mergeCell ref="H59:H60"/>
    <mergeCell ref="A66:B66"/>
    <mergeCell ref="A67:B67"/>
    <mergeCell ref="A68:B68"/>
    <mergeCell ref="A71:B71"/>
    <mergeCell ref="I59:I60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2:J79"/>
  <sheetViews>
    <sheetView topLeftCell="A39" workbookViewId="0">
      <selection activeCell="D56" sqref="C56:D57"/>
    </sheetView>
  </sheetViews>
  <sheetFormatPr defaultRowHeight="15" x14ac:dyDescent="0.25"/>
  <cols>
    <col min="1" max="1" width="28.42578125" bestFit="1" customWidth="1"/>
    <col min="2" max="2" width="59.5703125" bestFit="1" customWidth="1"/>
    <col min="3" max="3" width="12.7109375" bestFit="1" customWidth="1"/>
    <col min="4" max="4" width="36" bestFit="1" customWidth="1"/>
    <col min="5" max="5" width="13.85546875" bestFit="1" customWidth="1"/>
    <col min="6" max="6" width="8.5703125" bestFit="1" customWidth="1"/>
    <col min="7" max="7" width="47.7109375" bestFit="1" customWidth="1"/>
    <col min="8" max="9" width="16.7109375" bestFit="1" customWidth="1"/>
    <col min="10" max="10" width="24.42578125" bestFit="1" customWidth="1"/>
  </cols>
  <sheetData>
    <row r="2" spans="1:10" ht="18.75" x14ac:dyDescent="0.3">
      <c r="A2" s="3" t="s">
        <v>0</v>
      </c>
      <c r="B2" s="4" t="s">
        <v>296</v>
      </c>
    </row>
    <row r="3" spans="1:10" x14ac:dyDescent="0.25">
      <c r="A3" s="3" t="s">
        <v>2</v>
      </c>
      <c r="B3" s="1" t="s">
        <v>3</v>
      </c>
    </row>
    <row r="4" spans="1:10" x14ac:dyDescent="0.25">
      <c r="A4" s="3" t="s">
        <v>4</v>
      </c>
      <c r="B4" s="20">
        <v>7923</v>
      </c>
    </row>
    <row r="7" spans="1:10" x14ac:dyDescent="0.25">
      <c r="C7" s="22" t="s">
        <v>5</v>
      </c>
      <c r="D7" s="21"/>
      <c r="E7" s="21"/>
      <c r="F7" s="21"/>
      <c r="G7" s="21"/>
    </row>
    <row r="8" spans="1:10" x14ac:dyDescent="0.25">
      <c r="A8" s="3" t="s">
        <v>6</v>
      </c>
      <c r="B8" s="3" t="s">
        <v>7</v>
      </c>
      <c r="C8" s="15" t="s">
        <v>8</v>
      </c>
      <c r="D8" s="15" t="s">
        <v>9</v>
      </c>
      <c r="E8" s="15" t="s">
        <v>10</v>
      </c>
      <c r="F8" s="15" t="s">
        <v>11</v>
      </c>
      <c r="G8" s="15" t="s">
        <v>12</v>
      </c>
      <c r="H8" s="15" t="s">
        <v>13</v>
      </c>
      <c r="I8" s="15" t="s">
        <v>14</v>
      </c>
      <c r="J8" s="15" t="s">
        <v>15</v>
      </c>
    </row>
    <row r="9" spans="1:10" x14ac:dyDescent="0.25">
      <c r="A9" s="1" t="s">
        <v>16</v>
      </c>
      <c r="B9" s="1" t="s">
        <v>17</v>
      </c>
      <c r="C9" s="11"/>
      <c r="D9" s="11"/>
      <c r="E9" s="11">
        <v>253</v>
      </c>
      <c r="F9" s="11"/>
      <c r="G9" s="11">
        <f t="shared" ref="G9:G40" si="0">SUM(C9:F9)</f>
        <v>253</v>
      </c>
      <c r="H9" s="17">
        <f t="shared" ref="H9:H40" si="1">ROUND(G9/7923,2)</f>
        <v>0.03</v>
      </c>
      <c r="I9" s="16">
        <f t="shared" ref="I9:I40" si="2">ROUND(G9/$G$41,3)</f>
        <v>0</v>
      </c>
      <c r="J9" s="16">
        <f>ROUND(G9/183-1,2)</f>
        <v>0.38</v>
      </c>
    </row>
    <row r="10" spans="1:10" x14ac:dyDescent="0.25">
      <c r="A10" s="1" t="s">
        <v>16</v>
      </c>
      <c r="B10" s="1" t="s">
        <v>19</v>
      </c>
      <c r="C10" s="11">
        <v>265050</v>
      </c>
      <c r="D10" s="11"/>
      <c r="E10" s="11">
        <v>14040</v>
      </c>
      <c r="F10" s="11"/>
      <c r="G10" s="11">
        <f t="shared" si="0"/>
        <v>279090</v>
      </c>
      <c r="H10" s="17">
        <f t="shared" si="1"/>
        <v>35.229999999999997</v>
      </c>
      <c r="I10" s="16">
        <f t="shared" si="2"/>
        <v>7.3999999999999996E-2</v>
      </c>
      <c r="J10" s="16">
        <f>ROUND(G10/272800-1,2)</f>
        <v>0.02</v>
      </c>
    </row>
    <row r="11" spans="1:10" x14ac:dyDescent="0.25">
      <c r="A11" s="1" t="s">
        <v>16</v>
      </c>
      <c r="B11" s="1" t="s">
        <v>20</v>
      </c>
      <c r="C11" s="11">
        <v>365800</v>
      </c>
      <c r="D11" s="11"/>
      <c r="E11" s="11"/>
      <c r="F11" s="11"/>
      <c r="G11" s="11">
        <f t="shared" si="0"/>
        <v>365800</v>
      </c>
      <c r="H11" s="17">
        <f t="shared" si="1"/>
        <v>46.17</v>
      </c>
      <c r="I11" s="16">
        <f t="shared" si="2"/>
        <v>9.7000000000000003E-2</v>
      </c>
      <c r="J11" s="16">
        <f>ROUND(G11/378550-1,2)</f>
        <v>-0.03</v>
      </c>
    </row>
    <row r="12" spans="1:10" x14ac:dyDescent="0.25">
      <c r="A12" s="1" t="s">
        <v>16</v>
      </c>
      <c r="B12" s="1" t="s">
        <v>87</v>
      </c>
      <c r="C12" s="11"/>
      <c r="D12" s="11"/>
      <c r="E12" s="11">
        <v>348</v>
      </c>
      <c r="F12" s="11"/>
      <c r="G12" s="11">
        <f t="shared" si="0"/>
        <v>348</v>
      </c>
      <c r="H12" s="17">
        <f t="shared" si="1"/>
        <v>0.04</v>
      </c>
      <c r="I12" s="16">
        <f t="shared" si="2"/>
        <v>0</v>
      </c>
      <c r="J12" s="16">
        <f>ROUND(G12/492-1,2)</f>
        <v>-0.28999999999999998</v>
      </c>
    </row>
    <row r="13" spans="1:10" x14ac:dyDescent="0.25">
      <c r="A13" s="1" t="s">
        <v>16</v>
      </c>
      <c r="B13" s="1" t="s">
        <v>21</v>
      </c>
      <c r="C13" s="11"/>
      <c r="D13" s="11"/>
      <c r="E13" s="11">
        <v>293</v>
      </c>
      <c r="F13" s="11"/>
      <c r="G13" s="11">
        <f t="shared" si="0"/>
        <v>293</v>
      </c>
      <c r="H13" s="17">
        <f t="shared" si="1"/>
        <v>0.04</v>
      </c>
      <c r="I13" s="16">
        <f t="shared" si="2"/>
        <v>0</v>
      </c>
      <c r="J13" s="16">
        <f>ROUND(G13/379-1,2)</f>
        <v>-0.23</v>
      </c>
    </row>
    <row r="14" spans="1:10" x14ac:dyDescent="0.25">
      <c r="A14" s="1" t="s">
        <v>16</v>
      </c>
      <c r="B14" s="1" t="s">
        <v>22</v>
      </c>
      <c r="C14" s="11"/>
      <c r="D14" s="11"/>
      <c r="E14" s="11">
        <v>3500</v>
      </c>
      <c r="F14" s="11"/>
      <c r="G14" s="11">
        <f t="shared" si="0"/>
        <v>3500</v>
      </c>
      <c r="H14" s="17">
        <f t="shared" si="1"/>
        <v>0.44</v>
      </c>
      <c r="I14" s="16">
        <f t="shared" si="2"/>
        <v>1E-3</v>
      </c>
      <c r="J14" s="16">
        <f>ROUND(G14/4500-1,2)</f>
        <v>-0.22</v>
      </c>
    </row>
    <row r="15" spans="1:10" x14ac:dyDescent="0.25">
      <c r="A15" s="1" t="s">
        <v>16</v>
      </c>
      <c r="B15" s="1" t="s">
        <v>23</v>
      </c>
      <c r="C15" s="11"/>
      <c r="D15" s="11"/>
      <c r="E15" s="11">
        <v>121260</v>
      </c>
      <c r="F15" s="11"/>
      <c r="G15" s="11">
        <f t="shared" si="0"/>
        <v>121260</v>
      </c>
      <c r="H15" s="17">
        <f t="shared" si="1"/>
        <v>15.3</v>
      </c>
      <c r="I15" s="16">
        <f t="shared" si="2"/>
        <v>3.2000000000000001E-2</v>
      </c>
      <c r="J15" s="16">
        <f>ROUND(G15/142560-1,2)</f>
        <v>-0.15</v>
      </c>
    </row>
    <row r="16" spans="1:10" x14ac:dyDescent="0.25">
      <c r="A16" s="1" t="s">
        <v>16</v>
      </c>
      <c r="B16" s="1" t="s">
        <v>24</v>
      </c>
      <c r="C16" s="11">
        <v>410680</v>
      </c>
      <c r="D16" s="11"/>
      <c r="E16" s="11">
        <v>39930</v>
      </c>
      <c r="F16" s="11"/>
      <c r="G16" s="11">
        <f t="shared" si="0"/>
        <v>450610</v>
      </c>
      <c r="H16" s="17">
        <f t="shared" si="1"/>
        <v>56.87</v>
      </c>
      <c r="I16" s="16">
        <f t="shared" si="2"/>
        <v>0.11899999999999999</v>
      </c>
      <c r="J16" s="16">
        <f>ROUND(G16/455720-1,2)</f>
        <v>-0.01</v>
      </c>
    </row>
    <row r="17" spans="1:10" x14ac:dyDescent="0.25">
      <c r="A17" s="1" t="s">
        <v>16</v>
      </c>
      <c r="B17" s="1" t="s">
        <v>25</v>
      </c>
      <c r="C17" s="11"/>
      <c r="D17" s="11"/>
      <c r="E17" s="11">
        <v>11840</v>
      </c>
      <c r="F17" s="11"/>
      <c r="G17" s="11">
        <f t="shared" si="0"/>
        <v>11840</v>
      </c>
      <c r="H17" s="17">
        <f t="shared" si="1"/>
        <v>1.49</v>
      </c>
      <c r="I17" s="16">
        <f t="shared" si="2"/>
        <v>3.0000000000000001E-3</v>
      </c>
      <c r="J17" s="16">
        <f>ROUND(G17/12755-1,2)</f>
        <v>-7.0000000000000007E-2</v>
      </c>
    </row>
    <row r="18" spans="1:10" x14ac:dyDescent="0.25">
      <c r="A18" s="1" t="s">
        <v>16</v>
      </c>
      <c r="B18" s="1" t="s">
        <v>26</v>
      </c>
      <c r="C18" s="11">
        <v>673530</v>
      </c>
      <c r="D18" s="11"/>
      <c r="E18" s="11"/>
      <c r="F18" s="11">
        <v>1250</v>
      </c>
      <c r="G18" s="11">
        <f t="shared" si="0"/>
        <v>674780</v>
      </c>
      <c r="H18" s="17">
        <f t="shared" si="1"/>
        <v>85.17</v>
      </c>
      <c r="I18" s="16">
        <f t="shared" si="2"/>
        <v>0.17799999999999999</v>
      </c>
      <c r="J18" s="16">
        <f>ROUND(G18/683740-1,2)</f>
        <v>-0.01</v>
      </c>
    </row>
    <row r="19" spans="1:10" x14ac:dyDescent="0.25">
      <c r="A19" s="1" t="s">
        <v>16</v>
      </c>
      <c r="B19" s="1" t="s">
        <v>27</v>
      </c>
      <c r="C19" s="11"/>
      <c r="D19" s="11"/>
      <c r="E19" s="11">
        <v>1869</v>
      </c>
      <c r="F19" s="11"/>
      <c r="G19" s="11">
        <f t="shared" si="0"/>
        <v>1869</v>
      </c>
      <c r="H19" s="17">
        <f t="shared" si="1"/>
        <v>0.24</v>
      </c>
      <c r="I19" s="16">
        <f t="shared" si="2"/>
        <v>0</v>
      </c>
      <c r="J19" s="16">
        <f>ROUND(G19/1288-1,2)</f>
        <v>0.45</v>
      </c>
    </row>
    <row r="20" spans="1:10" x14ac:dyDescent="0.25">
      <c r="A20" s="1" t="s">
        <v>16</v>
      </c>
      <c r="B20" s="1" t="s">
        <v>28</v>
      </c>
      <c r="C20" s="11"/>
      <c r="D20" s="11"/>
      <c r="E20" s="11">
        <v>1150</v>
      </c>
      <c r="F20" s="11"/>
      <c r="G20" s="11">
        <f t="shared" si="0"/>
        <v>1150</v>
      </c>
      <c r="H20" s="17">
        <f t="shared" si="1"/>
        <v>0.15</v>
      </c>
      <c r="I20" s="16">
        <f t="shared" si="2"/>
        <v>0</v>
      </c>
      <c r="J20" s="16">
        <f>ROUND(G20/1005-1,2)</f>
        <v>0.14000000000000001</v>
      </c>
    </row>
    <row r="21" spans="1:10" x14ac:dyDescent="0.25">
      <c r="A21" s="1" t="s">
        <v>16</v>
      </c>
      <c r="B21" s="1" t="s">
        <v>29</v>
      </c>
      <c r="C21" s="11"/>
      <c r="D21" s="11"/>
      <c r="E21" s="11">
        <v>255</v>
      </c>
      <c r="F21" s="11"/>
      <c r="G21" s="11">
        <f t="shared" si="0"/>
        <v>255</v>
      </c>
      <c r="H21" s="17">
        <f t="shared" si="1"/>
        <v>0.03</v>
      </c>
      <c r="I21" s="16">
        <f t="shared" si="2"/>
        <v>0</v>
      </c>
      <c r="J21" s="16">
        <f>ROUND(G21/246-1,2)</f>
        <v>0.04</v>
      </c>
    </row>
    <row r="22" spans="1:10" x14ac:dyDescent="0.25">
      <c r="A22" s="1" t="s">
        <v>16</v>
      </c>
      <c r="B22" s="1" t="s">
        <v>30</v>
      </c>
      <c r="C22" s="11"/>
      <c r="D22" s="11"/>
      <c r="E22" s="11">
        <v>8000</v>
      </c>
      <c r="F22" s="11"/>
      <c r="G22" s="11">
        <f t="shared" si="0"/>
        <v>8000</v>
      </c>
      <c r="H22" s="17">
        <f t="shared" si="1"/>
        <v>1.01</v>
      </c>
      <c r="I22" s="16">
        <f t="shared" si="2"/>
        <v>2E-3</v>
      </c>
      <c r="J22" s="16">
        <f>ROUND(G22/11580-1,2)</f>
        <v>-0.31</v>
      </c>
    </row>
    <row r="23" spans="1:10" x14ac:dyDescent="0.25">
      <c r="A23" s="1" t="s">
        <v>16</v>
      </c>
      <c r="B23" s="1" t="s">
        <v>31</v>
      </c>
      <c r="C23" s="11"/>
      <c r="D23" s="11"/>
      <c r="E23" s="11">
        <v>2030</v>
      </c>
      <c r="F23" s="11"/>
      <c r="G23" s="11">
        <f t="shared" si="0"/>
        <v>2030</v>
      </c>
      <c r="H23" s="17">
        <f t="shared" si="1"/>
        <v>0.26</v>
      </c>
      <c r="I23" s="16">
        <f t="shared" si="2"/>
        <v>1E-3</v>
      </c>
      <c r="J23" s="16">
        <f>ROUND(G23/2530-1,2)</f>
        <v>-0.2</v>
      </c>
    </row>
    <row r="24" spans="1:10" x14ac:dyDescent="0.25">
      <c r="A24" s="1" t="s">
        <v>16</v>
      </c>
      <c r="B24" s="1" t="s">
        <v>32</v>
      </c>
      <c r="C24" s="11"/>
      <c r="D24" s="11"/>
      <c r="E24" s="11">
        <v>1310</v>
      </c>
      <c r="F24" s="11"/>
      <c r="G24" s="11">
        <f t="shared" si="0"/>
        <v>1310</v>
      </c>
      <c r="H24" s="17">
        <f t="shared" si="1"/>
        <v>0.17</v>
      </c>
      <c r="I24" s="16">
        <f t="shared" si="2"/>
        <v>0</v>
      </c>
      <c r="J24" s="16">
        <f>ROUND(G24/1150-1,2)</f>
        <v>0.14000000000000001</v>
      </c>
    </row>
    <row r="25" spans="1:10" x14ac:dyDescent="0.25">
      <c r="A25" s="1" t="s">
        <v>16</v>
      </c>
      <c r="B25" s="1" t="s">
        <v>33</v>
      </c>
      <c r="C25" s="11"/>
      <c r="D25" s="11"/>
      <c r="E25" s="11">
        <v>5165</v>
      </c>
      <c r="F25" s="11"/>
      <c r="G25" s="11">
        <f t="shared" si="0"/>
        <v>5165</v>
      </c>
      <c r="H25" s="17">
        <f t="shared" si="1"/>
        <v>0.65</v>
      </c>
      <c r="I25" s="16">
        <f t="shared" si="2"/>
        <v>1E-3</v>
      </c>
      <c r="J25" s="16">
        <f>ROUND(G25/6205-1,2)</f>
        <v>-0.17</v>
      </c>
    </row>
    <row r="26" spans="1:10" x14ac:dyDescent="0.25">
      <c r="A26" s="1" t="s">
        <v>16</v>
      </c>
      <c r="B26" s="1" t="s">
        <v>34</v>
      </c>
      <c r="C26" s="11"/>
      <c r="D26" s="11">
        <v>257</v>
      </c>
      <c r="E26" s="11">
        <v>610</v>
      </c>
      <c r="F26" s="11"/>
      <c r="G26" s="11">
        <f t="shared" si="0"/>
        <v>867</v>
      </c>
      <c r="H26" s="17">
        <f t="shared" si="1"/>
        <v>0.11</v>
      </c>
      <c r="I26" s="16">
        <f t="shared" si="2"/>
        <v>0</v>
      </c>
      <c r="J26" s="16">
        <f>ROUND(G26/804-1,2)</f>
        <v>0.08</v>
      </c>
    </row>
    <row r="27" spans="1:10" x14ac:dyDescent="0.25">
      <c r="A27" s="1" t="s">
        <v>16</v>
      </c>
      <c r="B27" s="1" t="s">
        <v>36</v>
      </c>
      <c r="C27" s="11"/>
      <c r="D27" s="11"/>
      <c r="E27" s="11">
        <v>600</v>
      </c>
      <c r="F27" s="11"/>
      <c r="G27" s="11">
        <f t="shared" si="0"/>
        <v>600</v>
      </c>
      <c r="H27" s="17">
        <f t="shared" si="1"/>
        <v>0.08</v>
      </c>
      <c r="I27" s="16">
        <f t="shared" si="2"/>
        <v>0</v>
      </c>
      <c r="J27" s="16">
        <f>ROUND(G27/1529-1,2)</f>
        <v>-0.61</v>
      </c>
    </row>
    <row r="28" spans="1:10" x14ac:dyDescent="0.25">
      <c r="A28" s="1" t="s">
        <v>16</v>
      </c>
      <c r="B28" s="1" t="s">
        <v>35</v>
      </c>
      <c r="C28" s="11"/>
      <c r="D28" s="11"/>
      <c r="E28" s="11">
        <v>2735</v>
      </c>
      <c r="F28" s="11"/>
      <c r="G28" s="11">
        <f t="shared" si="0"/>
        <v>2735</v>
      </c>
      <c r="H28" s="17">
        <f t="shared" si="1"/>
        <v>0.35</v>
      </c>
      <c r="I28" s="16">
        <f t="shared" si="2"/>
        <v>1E-3</v>
      </c>
      <c r="J28" s="16">
        <f>ROUND(G28/2220-1,2)</f>
        <v>0.23</v>
      </c>
    </row>
    <row r="29" spans="1:10" x14ac:dyDescent="0.25">
      <c r="A29" s="1" t="s">
        <v>16</v>
      </c>
      <c r="B29" s="1" t="s">
        <v>37</v>
      </c>
      <c r="C29" s="11"/>
      <c r="D29" s="11"/>
      <c r="E29" s="11">
        <v>4350</v>
      </c>
      <c r="F29" s="11"/>
      <c r="G29" s="11">
        <f t="shared" si="0"/>
        <v>4350</v>
      </c>
      <c r="H29" s="17">
        <f t="shared" si="1"/>
        <v>0.55000000000000004</v>
      </c>
      <c r="I29" s="16">
        <f t="shared" si="2"/>
        <v>1E-3</v>
      </c>
      <c r="J29" s="16">
        <f>ROUND(G29/6530-1,2)</f>
        <v>-0.33</v>
      </c>
    </row>
    <row r="30" spans="1:10" x14ac:dyDescent="0.25">
      <c r="A30" s="1" t="s">
        <v>16</v>
      </c>
      <c r="B30" s="1" t="s">
        <v>38</v>
      </c>
      <c r="C30" s="11"/>
      <c r="D30" s="11"/>
      <c r="E30" s="11">
        <v>10420</v>
      </c>
      <c r="F30" s="11"/>
      <c r="G30" s="11">
        <f t="shared" si="0"/>
        <v>10420</v>
      </c>
      <c r="H30" s="17">
        <f t="shared" si="1"/>
        <v>1.32</v>
      </c>
      <c r="I30" s="16">
        <f t="shared" si="2"/>
        <v>3.0000000000000001E-3</v>
      </c>
      <c r="J30" s="16">
        <f>ROUND(G30/17061-1,2)</f>
        <v>-0.39</v>
      </c>
    </row>
    <row r="31" spans="1:10" x14ac:dyDescent="0.25">
      <c r="A31" s="1" t="s">
        <v>16</v>
      </c>
      <c r="B31" s="1" t="s">
        <v>39</v>
      </c>
      <c r="C31" s="11"/>
      <c r="D31" s="11"/>
      <c r="E31" s="11">
        <v>30280</v>
      </c>
      <c r="F31" s="11"/>
      <c r="G31" s="11">
        <f t="shared" si="0"/>
        <v>30280</v>
      </c>
      <c r="H31" s="17">
        <f t="shared" si="1"/>
        <v>3.82</v>
      </c>
      <c r="I31" s="16">
        <f t="shared" si="2"/>
        <v>8.0000000000000002E-3</v>
      </c>
      <c r="J31" s="16">
        <f>ROUND(G31/23890-1,2)</f>
        <v>0.27</v>
      </c>
    </row>
    <row r="32" spans="1:10" x14ac:dyDescent="0.25">
      <c r="A32" s="1" t="s">
        <v>16</v>
      </c>
      <c r="B32" s="1" t="s">
        <v>40</v>
      </c>
      <c r="C32" s="11"/>
      <c r="D32" s="11"/>
      <c r="E32" s="11">
        <v>199455</v>
      </c>
      <c r="F32" s="11"/>
      <c r="G32" s="11">
        <f t="shared" si="0"/>
        <v>199455</v>
      </c>
      <c r="H32" s="17">
        <f t="shared" si="1"/>
        <v>25.17</v>
      </c>
      <c r="I32" s="16">
        <f t="shared" si="2"/>
        <v>5.2999999999999999E-2</v>
      </c>
      <c r="J32" s="16">
        <f>ROUND(G32/210840-1,2)</f>
        <v>-0.05</v>
      </c>
    </row>
    <row r="33" spans="1:10" x14ac:dyDescent="0.25">
      <c r="A33" s="1" t="s">
        <v>16</v>
      </c>
      <c r="B33" s="1" t="s">
        <v>42</v>
      </c>
      <c r="C33" s="11"/>
      <c r="D33" s="11"/>
      <c r="E33" s="11">
        <v>52950</v>
      </c>
      <c r="F33" s="11"/>
      <c r="G33" s="11">
        <f t="shared" si="0"/>
        <v>52950</v>
      </c>
      <c r="H33" s="17">
        <f t="shared" si="1"/>
        <v>6.68</v>
      </c>
      <c r="I33" s="16">
        <f t="shared" si="2"/>
        <v>1.4E-2</v>
      </c>
      <c r="J33" s="16">
        <f>ROUND(G33/60140-1,2)</f>
        <v>-0.12</v>
      </c>
    </row>
    <row r="34" spans="1:10" x14ac:dyDescent="0.25">
      <c r="A34" s="1" t="s">
        <v>16</v>
      </c>
      <c r="B34" s="1" t="s">
        <v>44</v>
      </c>
      <c r="C34" s="11"/>
      <c r="D34" s="11"/>
      <c r="E34" s="11">
        <v>442485</v>
      </c>
      <c r="F34" s="11"/>
      <c r="G34" s="11">
        <f t="shared" si="0"/>
        <v>442485</v>
      </c>
      <c r="H34" s="17">
        <f t="shared" si="1"/>
        <v>55.85</v>
      </c>
      <c r="I34" s="16">
        <f t="shared" si="2"/>
        <v>0.11700000000000001</v>
      </c>
      <c r="J34" s="16">
        <f>ROUND(G34/437830-1,2)</f>
        <v>0.01</v>
      </c>
    </row>
    <row r="35" spans="1:10" x14ac:dyDescent="0.25">
      <c r="A35" s="1" t="s">
        <v>16</v>
      </c>
      <c r="B35" s="1" t="s">
        <v>96</v>
      </c>
      <c r="C35" s="11"/>
      <c r="D35" s="11"/>
      <c r="E35" s="11"/>
      <c r="F35" s="11"/>
      <c r="G35" s="11">
        <f t="shared" si="0"/>
        <v>0</v>
      </c>
      <c r="H35" s="17">
        <f t="shared" si="1"/>
        <v>0</v>
      </c>
      <c r="I35" s="16">
        <f t="shared" si="2"/>
        <v>0</v>
      </c>
      <c r="J35" s="16">
        <f>ROUND(G35/140-1,2)</f>
        <v>-1</v>
      </c>
    </row>
    <row r="36" spans="1:10" x14ac:dyDescent="0.25">
      <c r="A36" s="1" t="s">
        <v>45</v>
      </c>
      <c r="B36" s="1" t="s">
        <v>46</v>
      </c>
      <c r="C36" s="11">
        <v>898880</v>
      </c>
      <c r="D36" s="11"/>
      <c r="E36" s="11"/>
      <c r="F36" s="11"/>
      <c r="G36" s="11">
        <f t="shared" si="0"/>
        <v>898880</v>
      </c>
      <c r="H36" s="17">
        <f t="shared" si="1"/>
        <v>113.45</v>
      </c>
      <c r="I36" s="16">
        <f t="shared" si="2"/>
        <v>0.23699999999999999</v>
      </c>
      <c r="J36" s="16">
        <f>ROUND(G36/908680-1,2)</f>
        <v>-0.01</v>
      </c>
    </row>
    <row r="37" spans="1:10" x14ac:dyDescent="0.25">
      <c r="A37" s="1" t="s">
        <v>45</v>
      </c>
      <c r="B37" s="1" t="s">
        <v>48</v>
      </c>
      <c r="C37" s="11"/>
      <c r="D37" s="11"/>
      <c r="E37" s="11"/>
      <c r="F37" s="11">
        <v>78160</v>
      </c>
      <c r="G37" s="11">
        <f t="shared" si="0"/>
        <v>78160</v>
      </c>
      <c r="H37" s="17">
        <f t="shared" si="1"/>
        <v>9.86</v>
      </c>
      <c r="I37" s="16">
        <f t="shared" si="2"/>
        <v>2.1000000000000001E-2</v>
      </c>
      <c r="J37" s="16">
        <f>ROUND(G37/119290-1,2)</f>
        <v>-0.34</v>
      </c>
    </row>
    <row r="38" spans="1:10" x14ac:dyDescent="0.25">
      <c r="A38" s="1" t="s">
        <v>45</v>
      </c>
      <c r="B38" s="1" t="s">
        <v>47</v>
      </c>
      <c r="C38" s="11"/>
      <c r="D38" s="11"/>
      <c r="E38" s="11">
        <v>136250</v>
      </c>
      <c r="F38" s="11"/>
      <c r="G38" s="11">
        <f t="shared" si="0"/>
        <v>136250</v>
      </c>
      <c r="H38" s="17">
        <f t="shared" si="1"/>
        <v>17.2</v>
      </c>
      <c r="I38" s="16">
        <f t="shared" si="2"/>
        <v>3.5999999999999997E-2</v>
      </c>
      <c r="J38" s="16">
        <f>ROUND(G38/142720-1,2)</f>
        <v>-0.05</v>
      </c>
    </row>
    <row r="39" spans="1:10" x14ac:dyDescent="0.25">
      <c r="A39" s="1" t="s">
        <v>49</v>
      </c>
      <c r="B39" s="1" t="s">
        <v>52</v>
      </c>
      <c r="C39" s="11"/>
      <c r="D39" s="11"/>
      <c r="E39" s="11"/>
      <c r="F39" s="11"/>
      <c r="G39" s="11">
        <f t="shared" si="0"/>
        <v>0</v>
      </c>
      <c r="H39" s="17">
        <f t="shared" si="1"/>
        <v>0</v>
      </c>
      <c r="I39" s="16">
        <f t="shared" si="2"/>
        <v>0</v>
      </c>
      <c r="J39" s="16"/>
    </row>
    <row r="40" spans="1:10" x14ac:dyDescent="0.25">
      <c r="A40" s="1" t="s">
        <v>49</v>
      </c>
      <c r="B40" s="1" t="s">
        <v>50</v>
      </c>
      <c r="C40" s="11"/>
      <c r="D40" s="11"/>
      <c r="E40" s="11"/>
      <c r="F40" s="11"/>
      <c r="G40" s="11">
        <f t="shared" si="0"/>
        <v>0</v>
      </c>
      <c r="H40" s="17">
        <f t="shared" si="1"/>
        <v>0</v>
      </c>
      <c r="I40" s="16">
        <f t="shared" si="2"/>
        <v>0</v>
      </c>
      <c r="J40" s="16"/>
    </row>
    <row r="41" spans="1:10" x14ac:dyDescent="0.25">
      <c r="A41" s="26" t="s">
        <v>12</v>
      </c>
      <c r="B41" s="26"/>
      <c r="C41" s="12">
        <f t="shared" ref="C41:H41" si="3">SUM(C8:C40)</f>
        <v>2613940</v>
      </c>
      <c r="D41" s="12">
        <f t="shared" si="3"/>
        <v>257</v>
      </c>
      <c r="E41" s="12">
        <f t="shared" si="3"/>
        <v>1091378</v>
      </c>
      <c r="F41" s="12">
        <f t="shared" si="3"/>
        <v>79410</v>
      </c>
      <c r="G41" s="12">
        <f t="shared" si="3"/>
        <v>3784985</v>
      </c>
      <c r="H41" s="15">
        <f t="shared" si="3"/>
        <v>477.73000000000008</v>
      </c>
      <c r="I41" s="18"/>
      <c r="J41" s="18"/>
    </row>
    <row r="42" spans="1:10" x14ac:dyDescent="0.25">
      <c r="A42" s="26" t="s">
        <v>14</v>
      </c>
      <c r="B42" s="26"/>
      <c r="C42" s="13">
        <f>ROUND(C41/G41,2)</f>
        <v>0.69</v>
      </c>
      <c r="D42" s="13">
        <f>ROUND(D41/G41,2)</f>
        <v>0</v>
      </c>
      <c r="E42" s="13">
        <f>ROUND(E41/G41,2)</f>
        <v>0.28999999999999998</v>
      </c>
      <c r="F42" s="13">
        <f>ROUND(F41/G41,2)</f>
        <v>0.02</v>
      </c>
      <c r="G42" s="14"/>
      <c r="H42" s="14"/>
      <c r="I42" s="18"/>
      <c r="J42" s="18"/>
    </row>
    <row r="43" spans="1:10" x14ac:dyDescent="0.25">
      <c r="A43" s="2" t="s">
        <v>53</v>
      </c>
      <c r="B43" s="2"/>
      <c r="C43" s="14"/>
      <c r="D43" s="14"/>
      <c r="E43" s="14"/>
      <c r="F43" s="14"/>
      <c r="G43" s="14"/>
      <c r="H43" s="14"/>
      <c r="I43" s="18"/>
      <c r="J43" s="18"/>
    </row>
    <row r="44" spans="1:10" x14ac:dyDescent="0.25">
      <c r="C44" s="9"/>
      <c r="D44" s="9"/>
      <c r="E44" s="9"/>
      <c r="F44" s="9"/>
      <c r="G44" s="9"/>
      <c r="H44" s="9"/>
      <c r="I44" s="10"/>
      <c r="J44" s="10"/>
    </row>
    <row r="45" spans="1:10" x14ac:dyDescent="0.25">
      <c r="C45" s="9"/>
      <c r="D45" s="9"/>
      <c r="E45" s="9"/>
      <c r="F45" s="9"/>
      <c r="G45" s="9"/>
      <c r="H45" s="9"/>
      <c r="I45" s="10"/>
      <c r="J45" s="10"/>
    </row>
    <row r="46" spans="1:10" x14ac:dyDescent="0.25">
      <c r="C46" s="9"/>
      <c r="D46" s="9"/>
      <c r="E46" s="9"/>
      <c r="F46" s="9"/>
      <c r="G46" s="9"/>
      <c r="H46" s="9"/>
      <c r="I46" s="10"/>
      <c r="J46" s="10"/>
    </row>
    <row r="47" spans="1:10" x14ac:dyDescent="0.25">
      <c r="A47" s="26" t="s">
        <v>54</v>
      </c>
      <c r="B47" s="26"/>
      <c r="C47" s="12" t="s">
        <v>8</v>
      </c>
      <c r="D47" s="12" t="s">
        <v>9</v>
      </c>
      <c r="E47" s="12" t="s">
        <v>10</v>
      </c>
      <c r="F47" s="12" t="s">
        <v>11</v>
      </c>
      <c r="G47" s="12" t="s">
        <v>12</v>
      </c>
      <c r="H47" s="15" t="s">
        <v>13</v>
      </c>
      <c r="I47" s="18"/>
      <c r="J47" s="18"/>
    </row>
    <row r="48" spans="1:10" x14ac:dyDescent="0.25">
      <c r="A48" s="21" t="s">
        <v>55</v>
      </c>
      <c r="B48" s="21"/>
      <c r="C48" s="11">
        <v>1715060</v>
      </c>
      <c r="D48" s="11">
        <v>257</v>
      </c>
      <c r="E48" s="11">
        <v>955128</v>
      </c>
      <c r="F48" s="11">
        <v>1250</v>
      </c>
      <c r="G48" s="11">
        <f>SUM(C48:F48)</f>
        <v>2671695</v>
      </c>
      <c r="H48" s="17">
        <f>ROUND(G48/7923,2)</f>
        <v>337.21</v>
      </c>
      <c r="I48" s="10"/>
      <c r="J48" s="10"/>
    </row>
    <row r="49" spans="1:10" x14ac:dyDescent="0.25">
      <c r="A49" s="21" t="s">
        <v>56</v>
      </c>
      <c r="B49" s="21"/>
      <c r="C49" s="11">
        <v>898880</v>
      </c>
      <c r="D49" s="11">
        <v>0</v>
      </c>
      <c r="E49" s="11">
        <v>136250</v>
      </c>
      <c r="F49" s="11">
        <v>78160</v>
      </c>
      <c r="G49" s="11">
        <f>SUM(C49:F49)</f>
        <v>1113290</v>
      </c>
      <c r="H49" s="17">
        <f>ROUND(G49/7923,2)</f>
        <v>140.51</v>
      </c>
      <c r="I49" s="10"/>
      <c r="J49" s="10"/>
    </row>
    <row r="50" spans="1:10" x14ac:dyDescent="0.25">
      <c r="A50" s="21" t="s">
        <v>57</v>
      </c>
      <c r="B50" s="21"/>
      <c r="C50" s="11">
        <v>0</v>
      </c>
      <c r="D50" s="11">
        <v>0</v>
      </c>
      <c r="E50" s="11">
        <v>0</v>
      </c>
      <c r="F50" s="11">
        <v>0</v>
      </c>
      <c r="G50" s="11">
        <f>SUM(C50:F50)</f>
        <v>0</v>
      </c>
      <c r="H50" s="17">
        <f>ROUND(G50/7923,2)</f>
        <v>0</v>
      </c>
      <c r="I50" s="10"/>
      <c r="J50" s="10"/>
    </row>
    <row r="51" spans="1:10" x14ac:dyDescent="0.25">
      <c r="C51" s="9"/>
      <c r="D51" s="9"/>
      <c r="E51" s="9"/>
      <c r="F51" s="9"/>
      <c r="G51" s="9"/>
      <c r="H51" s="9"/>
      <c r="I51" s="10"/>
      <c r="J51" s="10"/>
    </row>
    <row r="52" spans="1:10" x14ac:dyDescent="0.25">
      <c r="C52" s="9"/>
      <c r="D52" s="9"/>
      <c r="E52" s="9"/>
      <c r="F52" s="9"/>
      <c r="G52" s="9"/>
      <c r="H52" s="9"/>
      <c r="I52" s="10"/>
      <c r="J52" s="10"/>
    </row>
    <row r="53" spans="1:10" x14ac:dyDescent="0.25">
      <c r="C53" s="9"/>
      <c r="D53" s="9"/>
      <c r="E53" s="9"/>
      <c r="F53" s="9"/>
      <c r="G53" s="9"/>
      <c r="H53" s="9"/>
      <c r="I53" s="10"/>
      <c r="J53" s="10"/>
    </row>
    <row r="54" spans="1:10" x14ac:dyDescent="0.25">
      <c r="C54" s="9"/>
      <c r="D54" s="9"/>
      <c r="E54" s="9"/>
      <c r="F54" s="9"/>
      <c r="G54" s="9"/>
      <c r="H54" s="9"/>
      <c r="I54" s="10"/>
      <c r="J54" s="10"/>
    </row>
    <row r="55" spans="1:10" x14ac:dyDescent="0.25">
      <c r="A55" s="26" t="s">
        <v>58</v>
      </c>
      <c r="B55" s="26"/>
      <c r="C55" s="15" t="s">
        <v>2</v>
      </c>
      <c r="D55" s="15">
        <v>2024</v>
      </c>
      <c r="E55" s="15" t="s">
        <v>60</v>
      </c>
      <c r="F55" s="14"/>
      <c r="G55" s="15" t="s">
        <v>61</v>
      </c>
      <c r="H55" s="15" t="s">
        <v>2</v>
      </c>
      <c r="I55" s="13" t="s">
        <v>62</v>
      </c>
      <c r="J55" s="13" t="s">
        <v>60</v>
      </c>
    </row>
    <row r="56" spans="1:10" x14ac:dyDescent="0.25">
      <c r="A56" s="21" t="s">
        <v>59</v>
      </c>
      <c r="B56" s="21"/>
      <c r="C56" s="16">
        <f>ROUND(0.7544, 4)</f>
        <v>0.75439999999999996</v>
      </c>
      <c r="D56" s="16">
        <f>ROUND(0.7535, 4)</f>
        <v>0.75349999999999995</v>
      </c>
      <c r="E56" s="16">
        <f>ROUND(0.7856, 4)</f>
        <v>0.78559999999999997</v>
      </c>
      <c r="F56" s="9"/>
      <c r="G56" s="15" t="s">
        <v>63</v>
      </c>
      <c r="H56" s="27" t="s">
        <v>64</v>
      </c>
      <c r="I56" s="24" t="s">
        <v>65</v>
      </c>
      <c r="J56" s="24" t="s">
        <v>66</v>
      </c>
    </row>
    <row r="57" spans="1:10" x14ac:dyDescent="0.25">
      <c r="A57" s="21" t="s">
        <v>67</v>
      </c>
      <c r="B57" s="21"/>
      <c r="C57" s="16">
        <f>ROUND(0.7544, 4)</f>
        <v>0.75439999999999996</v>
      </c>
      <c r="D57" s="16">
        <f>ROUND(0.7442, 4)</f>
        <v>0.74419999999999997</v>
      </c>
      <c r="E57" s="16">
        <f>ROUND(0.7702, 4)</f>
        <v>0.7702</v>
      </c>
      <c r="F57" s="9"/>
      <c r="G57" s="15" t="s">
        <v>68</v>
      </c>
      <c r="H57" s="28"/>
      <c r="I57" s="25"/>
      <c r="J57" s="25"/>
    </row>
    <row r="58" spans="1:10" x14ac:dyDescent="0.25">
      <c r="C58" s="9"/>
      <c r="D58" s="9"/>
      <c r="E58" s="9"/>
      <c r="F58" s="9"/>
      <c r="G58" s="9"/>
      <c r="H58" s="9"/>
      <c r="I58" s="10"/>
      <c r="J58" s="10"/>
    </row>
    <row r="59" spans="1:10" x14ac:dyDescent="0.25">
      <c r="C59" s="9"/>
      <c r="D59" s="9"/>
      <c r="E59" s="9"/>
      <c r="F59" s="9"/>
      <c r="G59" s="9"/>
      <c r="H59" s="9"/>
      <c r="I59" s="10"/>
      <c r="J59" s="10"/>
    </row>
    <row r="60" spans="1:10" x14ac:dyDescent="0.25">
      <c r="C60" s="9"/>
      <c r="D60" s="9"/>
      <c r="E60" s="9"/>
      <c r="F60" s="9"/>
      <c r="G60" s="9"/>
      <c r="H60" s="9"/>
      <c r="I60" s="10"/>
      <c r="J60" s="10"/>
    </row>
    <row r="61" spans="1:10" x14ac:dyDescent="0.25">
      <c r="A61" s="26" t="s">
        <v>69</v>
      </c>
      <c r="B61" s="26"/>
      <c r="C61" s="15" t="s">
        <v>2</v>
      </c>
      <c r="D61" s="15" t="s">
        <v>297</v>
      </c>
      <c r="E61" s="15" t="s">
        <v>71</v>
      </c>
      <c r="F61" s="15" t="s">
        <v>72</v>
      </c>
      <c r="G61" s="15" t="s">
        <v>73</v>
      </c>
      <c r="H61" s="14"/>
      <c r="I61" s="18"/>
      <c r="J61" s="18"/>
    </row>
    <row r="62" spans="1:10" x14ac:dyDescent="0.25">
      <c r="A62" s="21" t="s">
        <v>74</v>
      </c>
      <c r="B62" s="21"/>
      <c r="C62" s="17">
        <v>113.45</v>
      </c>
      <c r="D62" s="17">
        <v>108.61</v>
      </c>
      <c r="E62" s="17">
        <v>96.15</v>
      </c>
      <c r="F62" s="17">
        <v>57.94</v>
      </c>
      <c r="G62" s="17">
        <f>12/12*C62</f>
        <v>113.45</v>
      </c>
      <c r="H62" s="9"/>
      <c r="I62" s="10"/>
      <c r="J62" s="10"/>
    </row>
    <row r="63" spans="1:10" x14ac:dyDescent="0.25">
      <c r="A63" s="21" t="s">
        <v>75</v>
      </c>
      <c r="B63" s="21"/>
      <c r="C63" s="17">
        <v>85.17</v>
      </c>
      <c r="D63" s="17">
        <v>86.27</v>
      </c>
      <c r="E63" s="17">
        <v>62.28</v>
      </c>
      <c r="F63" s="17">
        <v>66.599999999999994</v>
      </c>
      <c r="G63" s="17">
        <f>12/12*C63</f>
        <v>85.17</v>
      </c>
      <c r="H63" s="9"/>
      <c r="I63" s="10"/>
      <c r="J63" s="10"/>
    </row>
    <row r="64" spans="1:10" x14ac:dyDescent="0.25">
      <c r="A64" s="21" t="s">
        <v>76</v>
      </c>
      <c r="B64" s="21"/>
      <c r="C64" s="17">
        <v>337.21</v>
      </c>
      <c r="D64" s="17">
        <v>336.06</v>
      </c>
      <c r="E64" s="17">
        <v>300.02</v>
      </c>
      <c r="F64" s="17">
        <v>295.08</v>
      </c>
      <c r="G64" s="17">
        <f>12/12*C64</f>
        <v>337.21</v>
      </c>
      <c r="H64" s="9"/>
      <c r="I64" s="10"/>
      <c r="J64" s="10"/>
    </row>
    <row r="65" spans="1:10" x14ac:dyDescent="0.25">
      <c r="A65" s="21" t="s">
        <v>77</v>
      </c>
      <c r="B65" s="21"/>
      <c r="C65" s="17">
        <v>140.51</v>
      </c>
      <c r="D65" s="17">
        <v>138.71</v>
      </c>
      <c r="E65" s="17">
        <v>120.96</v>
      </c>
      <c r="F65" s="17">
        <v>83.12</v>
      </c>
      <c r="G65" s="17">
        <f>12/12*C65</f>
        <v>140.51</v>
      </c>
      <c r="H65" s="9"/>
      <c r="I65" s="10"/>
      <c r="J65" s="10"/>
    </row>
    <row r="66" spans="1:10" x14ac:dyDescent="0.25">
      <c r="C66" s="9"/>
      <c r="D66" s="9"/>
      <c r="E66" s="9"/>
      <c r="F66" s="9"/>
      <c r="G66" s="9"/>
      <c r="H66" s="9"/>
      <c r="I66" s="10"/>
      <c r="J66" s="10"/>
    </row>
    <row r="67" spans="1:10" x14ac:dyDescent="0.25">
      <c r="C67" s="9"/>
      <c r="D67" s="9"/>
      <c r="E67" s="9"/>
      <c r="F67" s="9"/>
      <c r="G67" s="9"/>
      <c r="H67" s="9"/>
      <c r="I67" s="10"/>
      <c r="J67" s="10"/>
    </row>
    <row r="68" spans="1:10" x14ac:dyDescent="0.25">
      <c r="A68" s="22" t="s">
        <v>61</v>
      </c>
      <c r="B68" s="23"/>
      <c r="C68" s="9"/>
      <c r="D68" s="9"/>
      <c r="E68" s="9"/>
      <c r="F68" s="9"/>
      <c r="G68" s="9"/>
      <c r="H68" s="9"/>
      <c r="I68" s="10"/>
      <c r="J68" s="10"/>
    </row>
    <row r="69" spans="1:10" x14ac:dyDescent="0.25">
      <c r="A69" s="3" t="s">
        <v>78</v>
      </c>
      <c r="B69" s="1" t="s">
        <v>298</v>
      </c>
      <c r="C69" s="9"/>
      <c r="D69" s="9"/>
      <c r="E69" s="9"/>
      <c r="F69" s="9"/>
      <c r="G69" s="9"/>
      <c r="H69" s="9"/>
      <c r="I69" s="10"/>
      <c r="J69" s="10"/>
    </row>
    <row r="70" spans="1:10" x14ac:dyDescent="0.25">
      <c r="A70" s="3" t="s">
        <v>71</v>
      </c>
      <c r="B70" s="1" t="s">
        <v>80</v>
      </c>
      <c r="C70" s="9"/>
      <c r="D70" s="9"/>
      <c r="E70" s="9"/>
      <c r="F70" s="9"/>
      <c r="G70" s="9"/>
      <c r="H70" s="9"/>
      <c r="I70" s="10"/>
      <c r="J70" s="10"/>
    </row>
    <row r="71" spans="1:10" x14ac:dyDescent="0.25">
      <c r="A71" s="3" t="s">
        <v>72</v>
      </c>
      <c r="B71" s="1" t="s">
        <v>81</v>
      </c>
      <c r="C71" s="9"/>
      <c r="D71" s="9"/>
      <c r="E71" s="9"/>
      <c r="F71" s="9"/>
      <c r="G71" s="9"/>
      <c r="H71" s="9"/>
      <c r="I71" s="10"/>
      <c r="J71" s="10"/>
    </row>
    <row r="72" spans="1:10" x14ac:dyDescent="0.25">
      <c r="A72" s="3" t="s">
        <v>73</v>
      </c>
      <c r="B72" s="1" t="s">
        <v>82</v>
      </c>
      <c r="C72" s="9"/>
      <c r="D72" s="9"/>
      <c r="E72" s="9"/>
      <c r="F72" s="9"/>
      <c r="G72" s="9"/>
      <c r="H72" s="9"/>
      <c r="I72" s="10"/>
      <c r="J72" s="10"/>
    </row>
    <row r="73" spans="1:10" x14ac:dyDescent="0.25">
      <c r="C73" s="9"/>
      <c r="D73" s="9"/>
      <c r="E73" s="9"/>
      <c r="F73" s="9"/>
      <c r="G73" s="9"/>
      <c r="H73" s="9"/>
      <c r="I73" s="10"/>
      <c r="J73" s="10"/>
    </row>
    <row r="74" spans="1:10" x14ac:dyDescent="0.25">
      <c r="C74" s="9"/>
      <c r="D74" s="9"/>
      <c r="E74" s="9"/>
      <c r="F74" s="9"/>
      <c r="G74" s="9"/>
      <c r="H74" s="9"/>
      <c r="I74" s="10"/>
      <c r="J74" s="10"/>
    </row>
    <row r="75" spans="1:10" x14ac:dyDescent="0.25">
      <c r="C75" s="9"/>
      <c r="D75" s="9"/>
      <c r="E75" s="9"/>
      <c r="F75" s="9"/>
      <c r="G75" s="9"/>
      <c r="H75" s="9"/>
      <c r="I75" s="10"/>
      <c r="J75" s="10"/>
    </row>
    <row r="76" spans="1:10" x14ac:dyDescent="0.25">
      <c r="C76" s="9"/>
      <c r="D76" s="9"/>
      <c r="E76" s="9"/>
      <c r="F76" s="9"/>
      <c r="G76" s="9"/>
      <c r="H76" s="9"/>
      <c r="I76" s="10"/>
      <c r="J76" s="10"/>
    </row>
    <row r="77" spans="1:10" x14ac:dyDescent="0.25">
      <c r="C77" s="9"/>
      <c r="D77" s="9"/>
      <c r="E77" s="9"/>
      <c r="F77" s="9"/>
      <c r="G77" s="9"/>
      <c r="H77" s="9"/>
      <c r="I77" s="10"/>
      <c r="J77" s="10"/>
    </row>
    <row r="78" spans="1:10" x14ac:dyDescent="0.25">
      <c r="C78" s="9"/>
      <c r="D78" s="9"/>
      <c r="E78" s="9"/>
      <c r="F78" s="9"/>
      <c r="G78" s="9"/>
      <c r="H78" s="9"/>
      <c r="I78" s="10"/>
      <c r="J78" s="10"/>
    </row>
    <row r="79" spans="1:10" x14ac:dyDescent="0.25">
      <c r="C79" s="9"/>
      <c r="D79" s="9"/>
      <c r="E79" s="9"/>
      <c r="F79" s="9"/>
      <c r="G79" s="9"/>
      <c r="H79" s="9"/>
      <c r="I79" s="10"/>
      <c r="J79" s="10"/>
    </row>
  </sheetData>
  <mergeCells count="19">
    <mergeCell ref="C7:G7"/>
    <mergeCell ref="A41:B41"/>
    <mergeCell ref="A42:B42"/>
    <mergeCell ref="A47:B47"/>
    <mergeCell ref="A48:B48"/>
    <mergeCell ref="J56:J57"/>
    <mergeCell ref="A57:B57"/>
    <mergeCell ref="A61:B61"/>
    <mergeCell ref="A62:B62"/>
    <mergeCell ref="A49:B49"/>
    <mergeCell ref="A50:B50"/>
    <mergeCell ref="A55:B55"/>
    <mergeCell ref="A56:B56"/>
    <mergeCell ref="H56:H57"/>
    <mergeCell ref="A63:B63"/>
    <mergeCell ref="A64:B64"/>
    <mergeCell ref="A65:B65"/>
    <mergeCell ref="A68:B68"/>
    <mergeCell ref="I56:I57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2:J79"/>
  <sheetViews>
    <sheetView workbookViewId="0">
      <selection activeCell="H5" sqref="H5"/>
    </sheetView>
  </sheetViews>
  <sheetFormatPr defaultRowHeight="15" x14ac:dyDescent="0.25"/>
  <cols>
    <col min="1" max="1" width="28.42578125" bestFit="1" customWidth="1"/>
    <col min="2" max="2" width="70.140625" bestFit="1" customWidth="1"/>
    <col min="3" max="3" width="12.7109375" bestFit="1" customWidth="1"/>
    <col min="4" max="4" width="47.42578125" bestFit="1" customWidth="1"/>
    <col min="5" max="5" width="13.85546875" bestFit="1" customWidth="1"/>
    <col min="6" max="6" width="8.5703125" bestFit="1" customWidth="1"/>
    <col min="7" max="7" width="47.7109375" bestFit="1" customWidth="1"/>
    <col min="8" max="9" width="16.7109375" bestFit="1" customWidth="1"/>
    <col min="10" max="10" width="24.42578125" bestFit="1" customWidth="1"/>
  </cols>
  <sheetData>
    <row r="2" spans="1:10" ht="18.75" x14ac:dyDescent="0.3">
      <c r="A2" s="3" t="s">
        <v>0</v>
      </c>
      <c r="B2" s="4" t="s">
        <v>299</v>
      </c>
    </row>
    <row r="3" spans="1:10" x14ac:dyDescent="0.25">
      <c r="A3" s="3" t="s">
        <v>2</v>
      </c>
      <c r="B3" s="1" t="s">
        <v>3</v>
      </c>
    </row>
    <row r="4" spans="1:10" x14ac:dyDescent="0.25">
      <c r="A4" s="3" t="s">
        <v>4</v>
      </c>
      <c r="B4" s="20">
        <v>5682</v>
      </c>
    </row>
    <row r="7" spans="1:10" x14ac:dyDescent="0.25">
      <c r="C7" s="22" t="s">
        <v>5</v>
      </c>
      <c r="D7" s="21"/>
      <c r="E7" s="21"/>
      <c r="F7" s="21"/>
      <c r="G7" s="21"/>
    </row>
    <row r="8" spans="1:10" x14ac:dyDescent="0.25">
      <c r="A8" s="3" t="s">
        <v>6</v>
      </c>
      <c r="B8" s="3" t="s">
        <v>7</v>
      </c>
      <c r="C8" s="15" t="s">
        <v>8</v>
      </c>
      <c r="D8" s="15" t="s">
        <v>9</v>
      </c>
      <c r="E8" s="15" t="s">
        <v>10</v>
      </c>
      <c r="F8" s="15" t="s">
        <v>11</v>
      </c>
      <c r="G8" s="15" t="s">
        <v>12</v>
      </c>
      <c r="H8" s="15" t="s">
        <v>13</v>
      </c>
      <c r="I8" s="15" t="s">
        <v>14</v>
      </c>
      <c r="J8" s="15" t="s">
        <v>15</v>
      </c>
    </row>
    <row r="9" spans="1:10" x14ac:dyDescent="0.25">
      <c r="A9" s="1" t="s">
        <v>16</v>
      </c>
      <c r="B9" s="1" t="s">
        <v>18</v>
      </c>
      <c r="C9" s="11">
        <v>33520</v>
      </c>
      <c r="D9" s="11"/>
      <c r="E9" s="11"/>
      <c r="F9" s="11"/>
      <c r="G9" s="11">
        <f t="shared" ref="G9:G47" si="0">SUM(C9:F9)</f>
        <v>33520</v>
      </c>
      <c r="H9" s="17">
        <f t="shared" ref="H9:H47" si="1">ROUND(G9/5682,2)</f>
        <v>5.9</v>
      </c>
      <c r="I9" s="16">
        <f t="shared" ref="I9:I47" si="2">ROUND(G9/$G$48,3)</f>
        <v>1.9E-2</v>
      </c>
      <c r="J9" s="16">
        <f>ROUND(G9/50970-1,2)</f>
        <v>-0.34</v>
      </c>
    </row>
    <row r="10" spans="1:10" x14ac:dyDescent="0.25">
      <c r="A10" s="1" t="s">
        <v>16</v>
      </c>
      <c r="B10" s="1" t="s">
        <v>19</v>
      </c>
      <c r="C10" s="11">
        <v>152930</v>
      </c>
      <c r="D10" s="11"/>
      <c r="E10" s="11"/>
      <c r="F10" s="11"/>
      <c r="G10" s="11">
        <f t="shared" si="0"/>
        <v>152930</v>
      </c>
      <c r="H10" s="17">
        <f t="shared" si="1"/>
        <v>26.91</v>
      </c>
      <c r="I10" s="16">
        <f t="shared" si="2"/>
        <v>8.6999999999999994E-2</v>
      </c>
      <c r="J10" s="16">
        <f>ROUND(G10/152170-1,2)</f>
        <v>0</v>
      </c>
    </row>
    <row r="11" spans="1:10" x14ac:dyDescent="0.25">
      <c r="A11" s="1" t="s">
        <v>16</v>
      </c>
      <c r="B11" s="1" t="s">
        <v>20</v>
      </c>
      <c r="C11" s="11">
        <v>161690</v>
      </c>
      <c r="D11" s="11"/>
      <c r="E11" s="11"/>
      <c r="F11" s="11"/>
      <c r="G11" s="11">
        <f t="shared" si="0"/>
        <v>161690</v>
      </c>
      <c r="H11" s="17">
        <f t="shared" si="1"/>
        <v>28.46</v>
      </c>
      <c r="I11" s="16">
        <f t="shared" si="2"/>
        <v>9.1999999999999998E-2</v>
      </c>
      <c r="J11" s="16">
        <f>ROUND(G11/159910-1,2)</f>
        <v>0.01</v>
      </c>
    </row>
    <row r="12" spans="1:10" x14ac:dyDescent="0.25">
      <c r="A12" s="1" t="s">
        <v>16</v>
      </c>
      <c r="B12" s="1" t="s">
        <v>87</v>
      </c>
      <c r="C12" s="11"/>
      <c r="D12" s="11"/>
      <c r="E12" s="11"/>
      <c r="F12" s="11">
        <v>121</v>
      </c>
      <c r="G12" s="11">
        <f t="shared" si="0"/>
        <v>121</v>
      </c>
      <c r="H12" s="17">
        <f t="shared" si="1"/>
        <v>0.02</v>
      </c>
      <c r="I12" s="16">
        <f t="shared" si="2"/>
        <v>0</v>
      </c>
      <c r="J12" s="16">
        <f>ROUND(G12/322-1,2)</f>
        <v>-0.62</v>
      </c>
    </row>
    <row r="13" spans="1:10" x14ac:dyDescent="0.25">
      <c r="A13" s="1" t="s">
        <v>16</v>
      </c>
      <c r="B13" s="1" t="s">
        <v>21</v>
      </c>
      <c r="C13" s="11"/>
      <c r="D13" s="11"/>
      <c r="E13" s="11"/>
      <c r="F13" s="11">
        <v>150</v>
      </c>
      <c r="G13" s="11">
        <f t="shared" si="0"/>
        <v>150</v>
      </c>
      <c r="H13" s="17">
        <f t="shared" si="1"/>
        <v>0.03</v>
      </c>
      <c r="I13" s="16">
        <f t="shared" si="2"/>
        <v>0</v>
      </c>
      <c r="J13" s="16">
        <f>ROUND(G13/462-1,2)</f>
        <v>-0.68</v>
      </c>
    </row>
    <row r="14" spans="1:10" x14ac:dyDescent="0.25">
      <c r="A14" s="1" t="s">
        <v>16</v>
      </c>
      <c r="B14" s="1" t="s">
        <v>24</v>
      </c>
      <c r="C14" s="11">
        <v>216630</v>
      </c>
      <c r="D14" s="11"/>
      <c r="E14" s="11"/>
      <c r="F14" s="11"/>
      <c r="G14" s="11">
        <f t="shared" si="0"/>
        <v>216630</v>
      </c>
      <c r="H14" s="17">
        <f t="shared" si="1"/>
        <v>38.130000000000003</v>
      </c>
      <c r="I14" s="16">
        <f t="shared" si="2"/>
        <v>0.123</v>
      </c>
      <c r="J14" s="16">
        <f>ROUND(G14/235310-1,2)</f>
        <v>-0.08</v>
      </c>
    </row>
    <row r="15" spans="1:10" x14ac:dyDescent="0.25">
      <c r="A15" s="1" t="s">
        <v>16</v>
      </c>
      <c r="B15" s="1" t="s">
        <v>26</v>
      </c>
      <c r="C15" s="11">
        <v>255620</v>
      </c>
      <c r="D15" s="11"/>
      <c r="E15" s="11"/>
      <c r="F15" s="11">
        <v>4480</v>
      </c>
      <c r="G15" s="11">
        <f t="shared" si="0"/>
        <v>260100</v>
      </c>
      <c r="H15" s="17">
        <f t="shared" si="1"/>
        <v>45.78</v>
      </c>
      <c r="I15" s="16">
        <f t="shared" si="2"/>
        <v>0.14799999999999999</v>
      </c>
      <c r="J15" s="16">
        <f>ROUND(G15/256370-1,2)</f>
        <v>0.01</v>
      </c>
    </row>
    <row r="16" spans="1:10" x14ac:dyDescent="0.25">
      <c r="A16" s="1" t="s">
        <v>16</v>
      </c>
      <c r="B16" s="1" t="s">
        <v>29</v>
      </c>
      <c r="C16" s="11"/>
      <c r="D16" s="11"/>
      <c r="E16" s="11"/>
      <c r="F16" s="11">
        <v>179</v>
      </c>
      <c r="G16" s="11">
        <f t="shared" si="0"/>
        <v>179</v>
      </c>
      <c r="H16" s="17">
        <f t="shared" si="1"/>
        <v>0.03</v>
      </c>
      <c r="I16" s="16">
        <f t="shared" si="2"/>
        <v>0</v>
      </c>
      <c r="J16" s="16">
        <f>ROUND(G16/455-1,2)</f>
        <v>-0.61</v>
      </c>
    </row>
    <row r="17" spans="1:10" x14ac:dyDescent="0.25">
      <c r="A17" s="1" t="s">
        <v>16</v>
      </c>
      <c r="B17" s="1" t="s">
        <v>30</v>
      </c>
      <c r="C17" s="11"/>
      <c r="D17" s="11"/>
      <c r="E17" s="11"/>
      <c r="F17" s="11">
        <v>2824</v>
      </c>
      <c r="G17" s="11">
        <f t="shared" si="0"/>
        <v>2824</v>
      </c>
      <c r="H17" s="17">
        <f t="shared" si="1"/>
        <v>0.5</v>
      </c>
      <c r="I17" s="16">
        <f t="shared" si="2"/>
        <v>2E-3</v>
      </c>
      <c r="J17" s="16">
        <f>ROUND(G17/10114-1,2)</f>
        <v>-0.72</v>
      </c>
    </row>
    <row r="18" spans="1:10" x14ac:dyDescent="0.25">
      <c r="A18" s="1" t="s">
        <v>16</v>
      </c>
      <c r="B18" s="1" t="s">
        <v>31</v>
      </c>
      <c r="C18" s="11"/>
      <c r="D18" s="11"/>
      <c r="E18" s="11"/>
      <c r="F18" s="11">
        <v>1130</v>
      </c>
      <c r="G18" s="11">
        <f t="shared" si="0"/>
        <v>1130</v>
      </c>
      <c r="H18" s="17">
        <f t="shared" si="1"/>
        <v>0.2</v>
      </c>
      <c r="I18" s="16">
        <f t="shared" si="2"/>
        <v>1E-3</v>
      </c>
      <c r="J18" s="16">
        <f>ROUND(G18/4457-1,2)</f>
        <v>-0.75</v>
      </c>
    </row>
    <row r="19" spans="1:10" x14ac:dyDescent="0.25">
      <c r="A19" s="1" t="s">
        <v>16</v>
      </c>
      <c r="B19" s="1" t="s">
        <v>32</v>
      </c>
      <c r="C19" s="11"/>
      <c r="D19" s="11"/>
      <c r="E19" s="11"/>
      <c r="F19" s="11">
        <v>695</v>
      </c>
      <c r="G19" s="11">
        <f t="shared" si="0"/>
        <v>695</v>
      </c>
      <c r="H19" s="17">
        <f t="shared" si="1"/>
        <v>0.12</v>
      </c>
      <c r="I19" s="16">
        <f t="shared" si="2"/>
        <v>0</v>
      </c>
      <c r="J19" s="16">
        <f>ROUND(G19/1953-1,2)</f>
        <v>-0.64</v>
      </c>
    </row>
    <row r="20" spans="1:10" x14ac:dyDescent="0.25">
      <c r="A20" s="1" t="s">
        <v>16</v>
      </c>
      <c r="B20" s="1" t="s">
        <v>33</v>
      </c>
      <c r="C20" s="11"/>
      <c r="D20" s="11"/>
      <c r="E20" s="11"/>
      <c r="F20" s="11">
        <v>1640</v>
      </c>
      <c r="G20" s="11">
        <f t="shared" si="0"/>
        <v>1640</v>
      </c>
      <c r="H20" s="17">
        <f t="shared" si="1"/>
        <v>0.28999999999999998</v>
      </c>
      <c r="I20" s="16">
        <f t="shared" si="2"/>
        <v>1E-3</v>
      </c>
      <c r="J20" s="16">
        <f>ROUND(G20/3358-1,2)</f>
        <v>-0.51</v>
      </c>
    </row>
    <row r="21" spans="1:10" x14ac:dyDescent="0.25">
      <c r="A21" s="1" t="s">
        <v>16</v>
      </c>
      <c r="B21" s="1" t="s">
        <v>34</v>
      </c>
      <c r="C21" s="11"/>
      <c r="D21" s="11">
        <v>48</v>
      </c>
      <c r="E21" s="11">
        <v>10</v>
      </c>
      <c r="F21" s="11">
        <v>30</v>
      </c>
      <c r="G21" s="11">
        <f t="shared" si="0"/>
        <v>88</v>
      </c>
      <c r="H21" s="17">
        <f t="shared" si="1"/>
        <v>0.02</v>
      </c>
      <c r="I21" s="16">
        <f t="shared" si="2"/>
        <v>0</v>
      </c>
      <c r="J21" s="16">
        <f>ROUND(G21/254-1,2)</f>
        <v>-0.65</v>
      </c>
    </row>
    <row r="22" spans="1:10" x14ac:dyDescent="0.25">
      <c r="A22" s="1" t="s">
        <v>16</v>
      </c>
      <c r="B22" s="1" t="s">
        <v>35</v>
      </c>
      <c r="C22" s="11"/>
      <c r="D22" s="11"/>
      <c r="E22" s="11"/>
      <c r="F22" s="11">
        <v>796</v>
      </c>
      <c r="G22" s="11">
        <f t="shared" si="0"/>
        <v>796</v>
      </c>
      <c r="H22" s="17">
        <f t="shared" si="1"/>
        <v>0.14000000000000001</v>
      </c>
      <c r="I22" s="16">
        <f t="shared" si="2"/>
        <v>0</v>
      </c>
      <c r="J22" s="16">
        <f>ROUND(G22/3550-1,2)</f>
        <v>-0.78</v>
      </c>
    </row>
    <row r="23" spans="1:10" x14ac:dyDescent="0.25">
      <c r="A23" s="1" t="s">
        <v>16</v>
      </c>
      <c r="B23" s="1" t="s">
        <v>36</v>
      </c>
      <c r="C23" s="11"/>
      <c r="D23" s="11"/>
      <c r="E23" s="11"/>
      <c r="F23" s="11">
        <v>244</v>
      </c>
      <c r="G23" s="11">
        <f t="shared" si="0"/>
        <v>244</v>
      </c>
      <c r="H23" s="17">
        <f t="shared" si="1"/>
        <v>0.04</v>
      </c>
      <c r="I23" s="16">
        <f t="shared" si="2"/>
        <v>0</v>
      </c>
      <c r="J23" s="16">
        <f>ROUND(G23/684-1,2)</f>
        <v>-0.64</v>
      </c>
    </row>
    <row r="24" spans="1:10" x14ac:dyDescent="0.25">
      <c r="A24" s="1" t="s">
        <v>16</v>
      </c>
      <c r="B24" s="1" t="s">
        <v>37</v>
      </c>
      <c r="C24" s="11"/>
      <c r="D24" s="11"/>
      <c r="E24" s="11"/>
      <c r="F24" s="11">
        <v>2054</v>
      </c>
      <c r="G24" s="11">
        <f t="shared" si="0"/>
        <v>2054</v>
      </c>
      <c r="H24" s="17">
        <f t="shared" si="1"/>
        <v>0.36</v>
      </c>
      <c r="I24" s="16">
        <f t="shared" si="2"/>
        <v>1E-3</v>
      </c>
      <c r="J24" s="16">
        <f>ROUND(G24/4087-1,2)</f>
        <v>-0.5</v>
      </c>
    </row>
    <row r="25" spans="1:10" x14ac:dyDescent="0.25">
      <c r="A25" s="1" t="s">
        <v>16</v>
      </c>
      <c r="B25" s="1" t="s">
        <v>39</v>
      </c>
      <c r="C25" s="11"/>
      <c r="D25" s="11"/>
      <c r="E25" s="11"/>
      <c r="F25" s="11">
        <v>6257</v>
      </c>
      <c r="G25" s="11">
        <f t="shared" si="0"/>
        <v>6257</v>
      </c>
      <c r="H25" s="17">
        <f t="shared" si="1"/>
        <v>1.1000000000000001</v>
      </c>
      <c r="I25" s="16">
        <f t="shared" si="2"/>
        <v>4.0000000000000001E-3</v>
      </c>
      <c r="J25" s="16">
        <f>ROUND(G25/18063-1,2)</f>
        <v>-0.65</v>
      </c>
    </row>
    <row r="26" spans="1:10" x14ac:dyDescent="0.25">
      <c r="A26" s="1" t="s">
        <v>16</v>
      </c>
      <c r="B26" s="1" t="s">
        <v>38</v>
      </c>
      <c r="C26" s="11"/>
      <c r="D26" s="11"/>
      <c r="E26" s="11"/>
      <c r="F26" s="11">
        <v>1376</v>
      </c>
      <c r="G26" s="11">
        <f t="shared" si="0"/>
        <v>1376</v>
      </c>
      <c r="H26" s="17">
        <f t="shared" si="1"/>
        <v>0.24</v>
      </c>
      <c r="I26" s="16">
        <f t="shared" si="2"/>
        <v>1E-3</v>
      </c>
      <c r="J26" s="16">
        <f>ROUND(G26/13230-1,2)</f>
        <v>-0.9</v>
      </c>
    </row>
    <row r="27" spans="1:10" x14ac:dyDescent="0.25">
      <c r="A27" s="1" t="s">
        <v>16</v>
      </c>
      <c r="B27" s="1" t="s">
        <v>40</v>
      </c>
      <c r="C27" s="11"/>
      <c r="D27" s="11"/>
      <c r="E27" s="11">
        <v>5970</v>
      </c>
      <c r="F27" s="11">
        <v>87450</v>
      </c>
      <c r="G27" s="11">
        <f t="shared" si="0"/>
        <v>93420</v>
      </c>
      <c r="H27" s="17">
        <f t="shared" si="1"/>
        <v>16.440000000000001</v>
      </c>
      <c r="I27" s="16">
        <f t="shared" si="2"/>
        <v>5.2999999999999999E-2</v>
      </c>
      <c r="J27" s="16">
        <f>ROUND(G27/182680-1,2)</f>
        <v>-0.49</v>
      </c>
    </row>
    <row r="28" spans="1:10" x14ac:dyDescent="0.25">
      <c r="A28" s="1" t="s">
        <v>16</v>
      </c>
      <c r="B28" s="1" t="s">
        <v>42</v>
      </c>
      <c r="C28" s="11"/>
      <c r="D28" s="11"/>
      <c r="E28" s="11">
        <v>1770</v>
      </c>
      <c r="F28" s="11">
        <v>15110</v>
      </c>
      <c r="G28" s="11">
        <f t="shared" si="0"/>
        <v>16880</v>
      </c>
      <c r="H28" s="17">
        <f t="shared" si="1"/>
        <v>2.97</v>
      </c>
      <c r="I28" s="16">
        <f t="shared" si="2"/>
        <v>0.01</v>
      </c>
      <c r="J28" s="16">
        <f>ROUND(G28/54630-1,2)</f>
        <v>-0.69</v>
      </c>
    </row>
    <row r="29" spans="1:10" x14ac:dyDescent="0.25">
      <c r="A29" s="1" t="s">
        <v>16</v>
      </c>
      <c r="B29" s="1" t="s">
        <v>44</v>
      </c>
      <c r="C29" s="11"/>
      <c r="D29" s="11"/>
      <c r="E29" s="11"/>
      <c r="F29" s="11">
        <v>135280</v>
      </c>
      <c r="G29" s="11">
        <f t="shared" si="0"/>
        <v>135280</v>
      </c>
      <c r="H29" s="17">
        <f t="shared" si="1"/>
        <v>23.81</v>
      </c>
      <c r="I29" s="16">
        <f t="shared" si="2"/>
        <v>7.6999999999999999E-2</v>
      </c>
      <c r="J29" s="16">
        <f>ROUND(G29/156640-1,2)</f>
        <v>-0.14000000000000001</v>
      </c>
    </row>
    <row r="30" spans="1:10" x14ac:dyDescent="0.25">
      <c r="A30" s="1" t="s">
        <v>16</v>
      </c>
      <c r="B30" s="1" t="s">
        <v>92</v>
      </c>
      <c r="C30" s="11"/>
      <c r="D30" s="11"/>
      <c r="E30" s="11"/>
      <c r="F30" s="11"/>
      <c r="G30" s="11">
        <f t="shared" si="0"/>
        <v>0</v>
      </c>
      <c r="H30" s="17">
        <f t="shared" si="1"/>
        <v>0</v>
      </c>
      <c r="I30" s="16">
        <f t="shared" si="2"/>
        <v>0</v>
      </c>
      <c r="J30" s="16">
        <f>ROUND(G30/700-1,2)</f>
        <v>-1</v>
      </c>
    </row>
    <row r="31" spans="1:10" x14ac:dyDescent="0.25">
      <c r="A31" s="1" t="s">
        <v>16</v>
      </c>
      <c r="B31" s="1" t="s">
        <v>23</v>
      </c>
      <c r="C31" s="11"/>
      <c r="D31" s="11"/>
      <c r="E31" s="11"/>
      <c r="F31" s="11"/>
      <c r="G31" s="11">
        <f t="shared" si="0"/>
        <v>0</v>
      </c>
      <c r="H31" s="17">
        <f t="shared" si="1"/>
        <v>0</v>
      </c>
      <c r="I31" s="16">
        <f t="shared" si="2"/>
        <v>0</v>
      </c>
      <c r="J31" s="16">
        <f>ROUND(G31/80970-1,2)</f>
        <v>-1</v>
      </c>
    </row>
    <row r="32" spans="1:10" x14ac:dyDescent="0.25">
      <c r="A32" s="1" t="s">
        <v>16</v>
      </c>
      <c r="B32" s="1" t="s">
        <v>25</v>
      </c>
      <c r="C32" s="11"/>
      <c r="D32" s="11"/>
      <c r="E32" s="11"/>
      <c r="F32" s="11"/>
      <c r="G32" s="11">
        <f t="shared" si="0"/>
        <v>0</v>
      </c>
      <c r="H32" s="17">
        <f t="shared" si="1"/>
        <v>0</v>
      </c>
      <c r="I32" s="16">
        <f t="shared" si="2"/>
        <v>0</v>
      </c>
      <c r="J32" s="16">
        <f>ROUND(G32/18555-1,2)</f>
        <v>-1</v>
      </c>
    </row>
    <row r="33" spans="1:10" x14ac:dyDescent="0.25">
      <c r="A33" s="1" t="s">
        <v>16</v>
      </c>
      <c r="B33" s="1" t="s">
        <v>41</v>
      </c>
      <c r="C33" s="11"/>
      <c r="D33" s="11"/>
      <c r="E33" s="11"/>
      <c r="F33" s="11"/>
      <c r="G33" s="11">
        <f t="shared" si="0"/>
        <v>0</v>
      </c>
      <c r="H33" s="17">
        <f t="shared" si="1"/>
        <v>0</v>
      </c>
      <c r="I33" s="16">
        <f t="shared" si="2"/>
        <v>0</v>
      </c>
      <c r="J33" s="16">
        <f>ROUND(G33/13690-1,2)</f>
        <v>-1</v>
      </c>
    </row>
    <row r="34" spans="1:10" x14ac:dyDescent="0.25">
      <c r="A34" s="1" t="s">
        <v>16</v>
      </c>
      <c r="B34" s="1" t="s">
        <v>17</v>
      </c>
      <c r="C34" s="11"/>
      <c r="D34" s="11"/>
      <c r="E34" s="11"/>
      <c r="F34" s="11"/>
      <c r="G34" s="11">
        <f t="shared" si="0"/>
        <v>0</v>
      </c>
      <c r="H34" s="17">
        <f t="shared" si="1"/>
        <v>0</v>
      </c>
      <c r="I34" s="16">
        <f t="shared" si="2"/>
        <v>0</v>
      </c>
      <c r="J34" s="16">
        <f>ROUND(G34/231-1,2)</f>
        <v>-1</v>
      </c>
    </row>
    <row r="35" spans="1:10" x14ac:dyDescent="0.25">
      <c r="A35" s="1" t="s">
        <v>16</v>
      </c>
      <c r="B35" s="1" t="s">
        <v>22</v>
      </c>
      <c r="C35" s="11"/>
      <c r="D35" s="11"/>
      <c r="E35" s="11"/>
      <c r="F35" s="11"/>
      <c r="G35" s="11">
        <f t="shared" si="0"/>
        <v>0</v>
      </c>
      <c r="H35" s="17">
        <f t="shared" si="1"/>
        <v>0</v>
      </c>
      <c r="I35" s="16">
        <f t="shared" si="2"/>
        <v>0</v>
      </c>
      <c r="J35" s="16">
        <f>ROUND(G35/3580-1,2)</f>
        <v>-1</v>
      </c>
    </row>
    <row r="36" spans="1:10" x14ac:dyDescent="0.25">
      <c r="A36" s="1" t="s">
        <v>16</v>
      </c>
      <c r="B36" s="1" t="s">
        <v>27</v>
      </c>
      <c r="C36" s="11"/>
      <c r="D36" s="11"/>
      <c r="E36" s="11"/>
      <c r="F36" s="11"/>
      <c r="G36" s="11">
        <f t="shared" si="0"/>
        <v>0</v>
      </c>
      <c r="H36" s="17">
        <f t="shared" si="1"/>
        <v>0</v>
      </c>
      <c r="I36" s="16">
        <f t="shared" si="2"/>
        <v>0</v>
      </c>
      <c r="J36" s="16">
        <f>ROUND(G36/1931-1,2)</f>
        <v>-1</v>
      </c>
    </row>
    <row r="37" spans="1:10" x14ac:dyDescent="0.25">
      <c r="A37" s="1" t="s">
        <v>16</v>
      </c>
      <c r="B37" s="1" t="s">
        <v>28</v>
      </c>
      <c r="C37" s="11"/>
      <c r="D37" s="11"/>
      <c r="E37" s="11"/>
      <c r="F37" s="11"/>
      <c r="G37" s="11">
        <f t="shared" si="0"/>
        <v>0</v>
      </c>
      <c r="H37" s="17">
        <f t="shared" si="1"/>
        <v>0</v>
      </c>
      <c r="I37" s="16">
        <f t="shared" si="2"/>
        <v>0</v>
      </c>
      <c r="J37" s="16">
        <f>ROUND(G37/1140-1,2)</f>
        <v>-1</v>
      </c>
    </row>
    <row r="38" spans="1:10" x14ac:dyDescent="0.25">
      <c r="A38" s="1" t="s">
        <v>16</v>
      </c>
      <c r="B38" s="1" t="s">
        <v>96</v>
      </c>
      <c r="C38" s="11"/>
      <c r="D38" s="11"/>
      <c r="E38" s="11"/>
      <c r="F38" s="11"/>
      <c r="G38" s="11">
        <f t="shared" si="0"/>
        <v>0</v>
      </c>
      <c r="H38" s="17">
        <f t="shared" si="1"/>
        <v>0</v>
      </c>
      <c r="I38" s="16">
        <f t="shared" si="2"/>
        <v>0</v>
      </c>
      <c r="J38" s="16">
        <f>ROUND(G38/1780-1,2)</f>
        <v>-1</v>
      </c>
    </row>
    <row r="39" spans="1:10" x14ac:dyDescent="0.25">
      <c r="A39" s="1" t="s">
        <v>16</v>
      </c>
      <c r="B39" s="1" t="s">
        <v>173</v>
      </c>
      <c r="C39" s="11"/>
      <c r="D39" s="11"/>
      <c r="E39" s="11"/>
      <c r="F39" s="11"/>
      <c r="G39" s="11">
        <f t="shared" si="0"/>
        <v>0</v>
      </c>
      <c r="H39" s="17">
        <f t="shared" si="1"/>
        <v>0</v>
      </c>
      <c r="I39" s="16">
        <f t="shared" si="2"/>
        <v>0</v>
      </c>
      <c r="J39" s="16">
        <f>ROUND(G39/200-1,2)</f>
        <v>-1</v>
      </c>
    </row>
    <row r="40" spans="1:10" x14ac:dyDescent="0.25">
      <c r="A40" s="1" t="s">
        <v>16</v>
      </c>
      <c r="B40" s="1" t="s">
        <v>130</v>
      </c>
      <c r="C40" s="11"/>
      <c r="D40" s="11"/>
      <c r="E40" s="11"/>
      <c r="F40" s="11"/>
      <c r="G40" s="11">
        <f t="shared" si="0"/>
        <v>0</v>
      </c>
      <c r="H40" s="17">
        <f t="shared" si="1"/>
        <v>0</v>
      </c>
      <c r="I40" s="16">
        <f t="shared" si="2"/>
        <v>0</v>
      </c>
      <c r="J40" s="16"/>
    </row>
    <row r="41" spans="1:10" x14ac:dyDescent="0.25">
      <c r="A41" s="1" t="s">
        <v>45</v>
      </c>
      <c r="B41" s="1" t="s">
        <v>46</v>
      </c>
      <c r="C41" s="11">
        <v>589600</v>
      </c>
      <c r="D41" s="11">
        <v>19660</v>
      </c>
      <c r="E41" s="11"/>
      <c r="F41" s="11">
        <v>1940</v>
      </c>
      <c r="G41" s="11">
        <f t="shared" si="0"/>
        <v>611200</v>
      </c>
      <c r="H41" s="17">
        <f t="shared" si="1"/>
        <v>107.57</v>
      </c>
      <c r="I41" s="16">
        <f t="shared" si="2"/>
        <v>0.34799999999999998</v>
      </c>
      <c r="J41" s="16">
        <f>ROUND(G41/605540-1,2)</f>
        <v>0.01</v>
      </c>
    </row>
    <row r="42" spans="1:10" x14ac:dyDescent="0.25">
      <c r="A42" s="1" t="s">
        <v>45</v>
      </c>
      <c r="B42" s="1" t="s">
        <v>47</v>
      </c>
      <c r="C42" s="11"/>
      <c r="D42" s="11"/>
      <c r="E42" s="11">
        <v>3560</v>
      </c>
      <c r="F42" s="11">
        <v>54140</v>
      </c>
      <c r="G42" s="11">
        <f t="shared" si="0"/>
        <v>57700</v>
      </c>
      <c r="H42" s="17">
        <f t="shared" si="1"/>
        <v>10.15</v>
      </c>
      <c r="I42" s="16">
        <f t="shared" si="2"/>
        <v>3.3000000000000002E-2</v>
      </c>
      <c r="J42" s="16">
        <f>ROUND(G42/107090-1,2)</f>
        <v>-0.46</v>
      </c>
    </row>
    <row r="43" spans="1:10" x14ac:dyDescent="0.25">
      <c r="A43" s="1" t="s">
        <v>45</v>
      </c>
      <c r="B43" s="1" t="s">
        <v>48</v>
      </c>
      <c r="C43" s="11"/>
      <c r="D43" s="11"/>
      <c r="E43" s="11"/>
      <c r="F43" s="11"/>
      <c r="G43" s="11">
        <f t="shared" si="0"/>
        <v>0</v>
      </c>
      <c r="H43" s="17">
        <f t="shared" si="1"/>
        <v>0</v>
      </c>
      <c r="I43" s="16">
        <f t="shared" si="2"/>
        <v>0</v>
      </c>
      <c r="J43" s="16">
        <f>ROUND(G43/16140-1,2)</f>
        <v>-1</v>
      </c>
    </row>
    <row r="44" spans="1:10" x14ac:dyDescent="0.25">
      <c r="A44" s="1" t="s">
        <v>49</v>
      </c>
      <c r="B44" s="1" t="s">
        <v>52</v>
      </c>
      <c r="C44" s="11"/>
      <c r="D44" s="11"/>
      <c r="E44" s="11"/>
      <c r="F44" s="11"/>
      <c r="G44" s="11">
        <f t="shared" si="0"/>
        <v>0</v>
      </c>
      <c r="H44" s="17">
        <f t="shared" si="1"/>
        <v>0</v>
      </c>
      <c r="I44" s="16">
        <f t="shared" si="2"/>
        <v>0</v>
      </c>
      <c r="J44" s="16"/>
    </row>
    <row r="45" spans="1:10" x14ac:dyDescent="0.25">
      <c r="A45" s="1" t="s">
        <v>49</v>
      </c>
      <c r="B45" s="1" t="s">
        <v>88</v>
      </c>
      <c r="C45" s="11"/>
      <c r="D45" s="11"/>
      <c r="E45" s="11"/>
      <c r="F45" s="11"/>
      <c r="G45" s="11">
        <f t="shared" si="0"/>
        <v>0</v>
      </c>
      <c r="H45" s="17">
        <f t="shared" si="1"/>
        <v>0</v>
      </c>
      <c r="I45" s="16">
        <f t="shared" si="2"/>
        <v>0</v>
      </c>
      <c r="J45" s="16"/>
    </row>
    <row r="46" spans="1:10" x14ac:dyDescent="0.25">
      <c r="A46" s="1" t="s">
        <v>49</v>
      </c>
      <c r="B46" s="1" t="s">
        <v>51</v>
      </c>
      <c r="C46" s="11"/>
      <c r="D46" s="11"/>
      <c r="E46" s="11"/>
      <c r="F46" s="11"/>
      <c r="G46" s="11">
        <f t="shared" si="0"/>
        <v>0</v>
      </c>
      <c r="H46" s="17">
        <f t="shared" si="1"/>
        <v>0</v>
      </c>
      <c r="I46" s="16">
        <f t="shared" si="2"/>
        <v>0</v>
      </c>
      <c r="J46" s="16"/>
    </row>
    <row r="47" spans="1:10" x14ac:dyDescent="0.25">
      <c r="A47" s="1" t="s">
        <v>49</v>
      </c>
      <c r="B47" s="1" t="s">
        <v>50</v>
      </c>
      <c r="C47" s="11"/>
      <c r="D47" s="11"/>
      <c r="E47" s="11"/>
      <c r="F47" s="11"/>
      <c r="G47" s="11">
        <f t="shared" si="0"/>
        <v>0</v>
      </c>
      <c r="H47" s="17">
        <f t="shared" si="1"/>
        <v>0</v>
      </c>
      <c r="I47" s="16">
        <f t="shared" si="2"/>
        <v>0</v>
      </c>
      <c r="J47" s="16"/>
    </row>
    <row r="48" spans="1:10" x14ac:dyDescent="0.25">
      <c r="A48" s="26" t="s">
        <v>12</v>
      </c>
      <c r="B48" s="26"/>
      <c r="C48" s="12">
        <f t="shared" ref="C48:H48" si="3">SUM(C8:C47)</f>
        <v>1409990</v>
      </c>
      <c r="D48" s="12">
        <f t="shared" si="3"/>
        <v>19708</v>
      </c>
      <c r="E48" s="12">
        <f t="shared" si="3"/>
        <v>11310</v>
      </c>
      <c r="F48" s="12">
        <f t="shared" si="3"/>
        <v>315896</v>
      </c>
      <c r="G48" s="12">
        <f t="shared" si="3"/>
        <v>1756904</v>
      </c>
      <c r="H48" s="15">
        <f t="shared" si="3"/>
        <v>309.20999999999998</v>
      </c>
      <c r="I48" s="18"/>
      <c r="J48" s="18"/>
    </row>
    <row r="49" spans="1:10" x14ac:dyDescent="0.25">
      <c r="A49" s="26" t="s">
        <v>14</v>
      </c>
      <c r="B49" s="26"/>
      <c r="C49" s="13">
        <f>ROUND(C48/G48,2)</f>
        <v>0.8</v>
      </c>
      <c r="D49" s="13">
        <f>ROUND(D48/G48,2)</f>
        <v>0.01</v>
      </c>
      <c r="E49" s="13">
        <f>ROUND(E48/G48,2)</f>
        <v>0.01</v>
      </c>
      <c r="F49" s="13">
        <f>ROUND(F48/G48,2)</f>
        <v>0.18</v>
      </c>
      <c r="G49" s="14"/>
      <c r="H49" s="14"/>
      <c r="I49" s="18"/>
      <c r="J49" s="18"/>
    </row>
    <row r="50" spans="1:10" x14ac:dyDescent="0.25">
      <c r="A50" s="2" t="s">
        <v>53</v>
      </c>
      <c r="B50" s="2"/>
      <c r="C50" s="14"/>
      <c r="D50" s="14"/>
      <c r="E50" s="14"/>
      <c r="F50" s="14"/>
      <c r="G50" s="14"/>
      <c r="H50" s="14"/>
      <c r="I50" s="18"/>
      <c r="J50" s="18"/>
    </row>
    <row r="51" spans="1:10" x14ac:dyDescent="0.25">
      <c r="C51" s="9"/>
      <c r="D51" s="9"/>
      <c r="E51" s="9"/>
      <c r="F51" s="9"/>
      <c r="G51" s="9"/>
      <c r="H51" s="9"/>
      <c r="I51" s="10"/>
      <c r="J51" s="10"/>
    </row>
    <row r="52" spans="1:10" x14ac:dyDescent="0.25">
      <c r="C52" s="9"/>
      <c r="D52" s="9"/>
      <c r="E52" s="9"/>
      <c r="F52" s="9"/>
      <c r="G52" s="9"/>
      <c r="H52" s="9"/>
      <c r="I52" s="10"/>
      <c r="J52" s="10"/>
    </row>
    <row r="53" spans="1:10" x14ac:dyDescent="0.25">
      <c r="C53" s="9"/>
      <c r="D53" s="9"/>
      <c r="E53" s="9"/>
      <c r="F53" s="9"/>
      <c r="G53" s="9"/>
      <c r="H53" s="9"/>
      <c r="I53" s="10"/>
      <c r="J53" s="10"/>
    </row>
    <row r="54" spans="1:10" x14ac:dyDescent="0.25">
      <c r="A54" s="26" t="s">
        <v>54</v>
      </c>
      <c r="B54" s="26"/>
      <c r="C54" s="12" t="s">
        <v>8</v>
      </c>
      <c r="D54" s="12" t="s">
        <v>9</v>
      </c>
      <c r="E54" s="12" t="s">
        <v>10</v>
      </c>
      <c r="F54" s="12" t="s">
        <v>11</v>
      </c>
      <c r="G54" s="12" t="s">
        <v>12</v>
      </c>
      <c r="H54" s="15" t="s">
        <v>13</v>
      </c>
      <c r="I54" s="18"/>
      <c r="J54" s="18"/>
    </row>
    <row r="55" spans="1:10" x14ac:dyDescent="0.25">
      <c r="A55" s="21" t="s">
        <v>55</v>
      </c>
      <c r="B55" s="21"/>
      <c r="C55" s="11">
        <v>820390</v>
      </c>
      <c r="D55" s="11">
        <v>48</v>
      </c>
      <c r="E55" s="11">
        <v>7750</v>
      </c>
      <c r="F55" s="11">
        <v>259816</v>
      </c>
      <c r="G55" s="11">
        <f>SUM(C55:F55)</f>
        <v>1088004</v>
      </c>
      <c r="H55" s="17">
        <f>ROUND(G55/5682,2)</f>
        <v>191.48</v>
      </c>
      <c r="I55" s="10"/>
      <c r="J55" s="10"/>
    </row>
    <row r="56" spans="1:10" x14ac:dyDescent="0.25">
      <c r="A56" s="21" t="s">
        <v>56</v>
      </c>
      <c r="B56" s="21"/>
      <c r="C56" s="11">
        <v>589600</v>
      </c>
      <c r="D56" s="11">
        <v>19660</v>
      </c>
      <c r="E56" s="11">
        <v>3560</v>
      </c>
      <c r="F56" s="11">
        <v>56080</v>
      </c>
      <c r="G56" s="11">
        <f>SUM(C56:F56)</f>
        <v>668900</v>
      </c>
      <c r="H56" s="17">
        <f>ROUND(G56/5682,2)</f>
        <v>117.72</v>
      </c>
      <c r="I56" s="10"/>
      <c r="J56" s="10"/>
    </row>
    <row r="57" spans="1:10" x14ac:dyDescent="0.25">
      <c r="A57" s="21" t="s">
        <v>57</v>
      </c>
      <c r="B57" s="21"/>
      <c r="C57" s="11">
        <v>0</v>
      </c>
      <c r="D57" s="11">
        <v>0</v>
      </c>
      <c r="E57" s="11">
        <v>0</v>
      </c>
      <c r="F57" s="11">
        <v>0</v>
      </c>
      <c r="G57" s="11">
        <f>SUM(C57:F57)</f>
        <v>0</v>
      </c>
      <c r="H57" s="17">
        <f>ROUND(G57/5682,2)</f>
        <v>0</v>
      </c>
      <c r="I57" s="10"/>
      <c r="J57" s="10"/>
    </row>
    <row r="58" spans="1:10" x14ac:dyDescent="0.25">
      <c r="C58" s="9"/>
      <c r="D58" s="9"/>
      <c r="E58" s="9"/>
      <c r="F58" s="9"/>
      <c r="G58" s="9"/>
      <c r="H58" s="9"/>
      <c r="I58" s="10"/>
      <c r="J58" s="10"/>
    </row>
    <row r="59" spans="1:10" x14ac:dyDescent="0.25">
      <c r="C59" s="9"/>
      <c r="D59" s="9"/>
      <c r="E59" s="9"/>
      <c r="F59" s="9"/>
      <c r="G59" s="9"/>
      <c r="H59" s="9"/>
      <c r="I59" s="10"/>
      <c r="J59" s="10"/>
    </row>
    <row r="60" spans="1:10" x14ac:dyDescent="0.25">
      <c r="C60" s="9"/>
      <c r="D60" s="9"/>
      <c r="E60" s="9"/>
      <c r="F60" s="9"/>
      <c r="G60" s="9"/>
      <c r="H60" s="9"/>
      <c r="I60" s="10"/>
      <c r="J60" s="10"/>
    </row>
    <row r="61" spans="1:10" x14ac:dyDescent="0.25">
      <c r="C61" s="9"/>
      <c r="D61" s="9"/>
      <c r="E61" s="9"/>
      <c r="F61" s="9"/>
      <c r="G61" s="9"/>
      <c r="H61" s="9"/>
      <c r="I61" s="10"/>
      <c r="J61" s="10"/>
    </row>
    <row r="62" spans="1:10" x14ac:dyDescent="0.25">
      <c r="A62" s="26" t="s">
        <v>58</v>
      </c>
      <c r="B62" s="26"/>
      <c r="C62" s="15" t="s">
        <v>2</v>
      </c>
      <c r="D62" s="15">
        <v>2024</v>
      </c>
      <c r="E62" s="15" t="s">
        <v>60</v>
      </c>
      <c r="F62" s="14"/>
      <c r="G62" s="15" t="s">
        <v>61</v>
      </c>
      <c r="H62" s="15" t="s">
        <v>2</v>
      </c>
      <c r="I62" s="13" t="s">
        <v>62</v>
      </c>
      <c r="J62" s="13" t="s">
        <v>60</v>
      </c>
    </row>
    <row r="63" spans="1:10" x14ac:dyDescent="0.25">
      <c r="A63" s="21" t="s">
        <v>59</v>
      </c>
      <c r="B63" s="21"/>
      <c r="C63" s="16">
        <f>ROUND(0.6521, 4)</f>
        <v>0.65210000000000001</v>
      </c>
      <c r="D63" s="16">
        <f>ROUND(0.6609, 4)</f>
        <v>0.66090000000000004</v>
      </c>
      <c r="E63" s="16">
        <f>ROUND(0.7856, 4)</f>
        <v>0.78559999999999997</v>
      </c>
      <c r="F63" s="9"/>
      <c r="G63" s="15" t="s">
        <v>63</v>
      </c>
      <c r="H63" s="27" t="s">
        <v>64</v>
      </c>
      <c r="I63" s="24" t="s">
        <v>65</v>
      </c>
      <c r="J63" s="24" t="s">
        <v>66</v>
      </c>
    </row>
    <row r="64" spans="1:10" x14ac:dyDescent="0.25">
      <c r="A64" s="21" t="s">
        <v>67</v>
      </c>
      <c r="B64" s="21"/>
      <c r="C64" s="16">
        <f>ROUND(0.6521, 4)</f>
        <v>0.65210000000000001</v>
      </c>
      <c r="D64" s="16">
        <f>ROUND(0.6516, 4)</f>
        <v>0.65159999999999996</v>
      </c>
      <c r="E64" s="16">
        <f>ROUND(0.7702, 4)</f>
        <v>0.7702</v>
      </c>
      <c r="F64" s="9"/>
      <c r="G64" s="15" t="s">
        <v>68</v>
      </c>
      <c r="H64" s="28"/>
      <c r="I64" s="25"/>
      <c r="J64" s="25"/>
    </row>
    <row r="65" spans="1:10" x14ac:dyDescent="0.25">
      <c r="C65" s="9"/>
      <c r="D65" s="9"/>
      <c r="E65" s="9"/>
      <c r="F65" s="9"/>
      <c r="G65" s="9"/>
      <c r="H65" s="9"/>
      <c r="I65" s="10"/>
      <c r="J65" s="10"/>
    </row>
    <row r="66" spans="1:10" x14ac:dyDescent="0.25">
      <c r="C66" s="9"/>
      <c r="D66" s="9"/>
      <c r="E66" s="9"/>
      <c r="F66" s="9"/>
      <c r="G66" s="9"/>
      <c r="H66" s="9"/>
      <c r="I66" s="10"/>
      <c r="J66" s="10"/>
    </row>
    <row r="67" spans="1:10" x14ac:dyDescent="0.25">
      <c r="C67" s="9"/>
      <c r="D67" s="9"/>
      <c r="E67" s="9"/>
      <c r="F67" s="9"/>
      <c r="G67" s="9"/>
      <c r="H67" s="9"/>
      <c r="I67" s="10"/>
      <c r="J67" s="10"/>
    </row>
    <row r="68" spans="1:10" x14ac:dyDescent="0.25">
      <c r="A68" s="26" t="s">
        <v>69</v>
      </c>
      <c r="B68" s="26"/>
      <c r="C68" s="15" t="s">
        <v>2</v>
      </c>
      <c r="D68" s="15" t="s">
        <v>300</v>
      </c>
      <c r="E68" s="15" t="s">
        <v>71</v>
      </c>
      <c r="F68" s="15" t="s">
        <v>72</v>
      </c>
      <c r="G68" s="15" t="s">
        <v>73</v>
      </c>
      <c r="H68" s="14"/>
      <c r="I68" s="18"/>
      <c r="J68" s="18"/>
    </row>
    <row r="69" spans="1:10" x14ac:dyDescent="0.25">
      <c r="A69" s="21" t="s">
        <v>74</v>
      </c>
      <c r="B69" s="21"/>
      <c r="C69" s="17">
        <v>107.57</v>
      </c>
      <c r="D69" s="17">
        <v>102.54</v>
      </c>
      <c r="E69" s="17">
        <v>96.15</v>
      </c>
      <c r="F69" s="17">
        <v>57.94</v>
      </c>
      <c r="G69" s="17">
        <f>12/12*C69</f>
        <v>107.57</v>
      </c>
      <c r="H69" s="9"/>
      <c r="I69" s="10"/>
      <c r="J69" s="10"/>
    </row>
    <row r="70" spans="1:10" x14ac:dyDescent="0.25">
      <c r="A70" s="21" t="s">
        <v>75</v>
      </c>
      <c r="B70" s="21"/>
      <c r="C70" s="17">
        <v>45.78</v>
      </c>
      <c r="D70" s="17">
        <v>45.13</v>
      </c>
      <c r="E70" s="17">
        <v>62.28</v>
      </c>
      <c r="F70" s="17">
        <v>66.599999999999994</v>
      </c>
      <c r="G70" s="17">
        <f>12/12*C70</f>
        <v>45.78</v>
      </c>
      <c r="H70" s="9"/>
      <c r="I70" s="10"/>
      <c r="J70" s="10"/>
    </row>
    <row r="71" spans="1:10" x14ac:dyDescent="0.25">
      <c r="A71" s="21" t="s">
        <v>76</v>
      </c>
      <c r="B71" s="21"/>
      <c r="C71" s="17">
        <v>191.48</v>
      </c>
      <c r="D71" s="17">
        <v>240.49</v>
      </c>
      <c r="E71" s="17">
        <v>300.02</v>
      </c>
      <c r="F71" s="17">
        <v>295.08</v>
      </c>
      <c r="G71" s="17">
        <f>12/12*C71</f>
        <v>191.48</v>
      </c>
      <c r="H71" s="9"/>
      <c r="I71" s="10"/>
      <c r="J71" s="10"/>
    </row>
    <row r="72" spans="1:10" x14ac:dyDescent="0.25">
      <c r="A72" s="21" t="s">
        <v>77</v>
      </c>
      <c r="B72" s="21"/>
      <c r="C72" s="17">
        <v>117.72</v>
      </c>
      <c r="D72" s="17">
        <v>118.8</v>
      </c>
      <c r="E72" s="17">
        <v>120.96</v>
      </c>
      <c r="F72" s="17">
        <v>83.12</v>
      </c>
      <c r="G72" s="17">
        <f>12/12*C72</f>
        <v>117.72</v>
      </c>
      <c r="H72" s="9"/>
      <c r="I72" s="10"/>
      <c r="J72" s="10"/>
    </row>
    <row r="73" spans="1:10" x14ac:dyDescent="0.25">
      <c r="C73" s="9"/>
      <c r="D73" s="9"/>
      <c r="E73" s="9"/>
      <c r="F73" s="9"/>
      <c r="G73" s="9"/>
      <c r="H73" s="9"/>
      <c r="I73" s="10"/>
      <c r="J73" s="10"/>
    </row>
    <row r="74" spans="1:10" x14ac:dyDescent="0.25">
      <c r="C74" s="9"/>
      <c r="D74" s="9"/>
      <c r="E74" s="9"/>
      <c r="F74" s="9"/>
      <c r="G74" s="9"/>
      <c r="H74" s="9"/>
      <c r="I74" s="10"/>
      <c r="J74" s="10"/>
    </row>
    <row r="75" spans="1:10" x14ac:dyDescent="0.25">
      <c r="A75" s="22" t="s">
        <v>61</v>
      </c>
      <c r="B75" s="23"/>
      <c r="C75" s="9"/>
      <c r="D75" s="9"/>
      <c r="E75" s="9"/>
      <c r="F75" s="9"/>
      <c r="G75" s="9"/>
      <c r="H75" s="9"/>
      <c r="I75" s="10"/>
      <c r="J75" s="10"/>
    </row>
    <row r="76" spans="1:10" x14ac:dyDescent="0.25">
      <c r="A76" s="3" t="s">
        <v>78</v>
      </c>
      <c r="B76" s="1" t="s">
        <v>301</v>
      </c>
      <c r="C76" s="9"/>
      <c r="D76" s="9"/>
      <c r="E76" s="9"/>
      <c r="F76" s="9"/>
      <c r="G76" s="9"/>
      <c r="H76" s="9"/>
      <c r="I76" s="10"/>
      <c r="J76" s="10"/>
    </row>
    <row r="77" spans="1:10" x14ac:dyDescent="0.25">
      <c r="A77" s="3" t="s">
        <v>71</v>
      </c>
      <c r="B77" s="1" t="s">
        <v>80</v>
      </c>
      <c r="C77" s="9"/>
      <c r="D77" s="9"/>
      <c r="E77" s="9"/>
      <c r="F77" s="9"/>
      <c r="G77" s="9"/>
      <c r="H77" s="9"/>
      <c r="I77" s="10"/>
      <c r="J77" s="10"/>
    </row>
    <row r="78" spans="1:10" x14ac:dyDescent="0.25">
      <c r="A78" s="3" t="s">
        <v>72</v>
      </c>
      <c r="B78" s="1" t="s">
        <v>81</v>
      </c>
      <c r="C78" s="9"/>
      <c r="D78" s="9"/>
      <c r="E78" s="9"/>
      <c r="F78" s="9"/>
      <c r="G78" s="9"/>
      <c r="H78" s="9"/>
      <c r="I78" s="10"/>
      <c r="J78" s="10"/>
    </row>
    <row r="79" spans="1:10" x14ac:dyDescent="0.25">
      <c r="A79" s="3" t="s">
        <v>73</v>
      </c>
      <c r="B79" s="1" t="s">
        <v>82</v>
      </c>
      <c r="C79" s="9"/>
      <c r="D79" s="9"/>
      <c r="E79" s="9"/>
      <c r="F79" s="9"/>
      <c r="G79" s="9"/>
      <c r="H79" s="9"/>
      <c r="I79" s="10"/>
      <c r="J79" s="10"/>
    </row>
  </sheetData>
  <mergeCells count="19">
    <mergeCell ref="C7:G7"/>
    <mergeCell ref="A48:B48"/>
    <mergeCell ref="A49:B49"/>
    <mergeCell ref="A54:B54"/>
    <mergeCell ref="A55:B55"/>
    <mergeCell ref="J63:J64"/>
    <mergeCell ref="A64:B64"/>
    <mergeCell ref="A68:B68"/>
    <mergeCell ref="A69:B69"/>
    <mergeCell ref="A56:B56"/>
    <mergeCell ref="A57:B57"/>
    <mergeCell ref="A62:B62"/>
    <mergeCell ref="A63:B63"/>
    <mergeCell ref="H63:H64"/>
    <mergeCell ref="A70:B70"/>
    <mergeCell ref="A71:B71"/>
    <mergeCell ref="A72:B72"/>
    <mergeCell ref="A75:B75"/>
    <mergeCell ref="I63:I64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2:J79"/>
  <sheetViews>
    <sheetView workbookViewId="0">
      <selection activeCell="H5" sqref="H5"/>
    </sheetView>
  </sheetViews>
  <sheetFormatPr defaultRowHeight="15" x14ac:dyDescent="0.25"/>
  <cols>
    <col min="1" max="1" width="28.42578125" bestFit="1" customWidth="1"/>
    <col min="2" max="2" width="112" bestFit="1" customWidth="1"/>
    <col min="3" max="3" width="12.7109375" bestFit="1" customWidth="1"/>
    <col min="4" max="4" width="40.7109375" bestFit="1" customWidth="1"/>
    <col min="5" max="5" width="13.85546875" bestFit="1" customWidth="1"/>
    <col min="6" max="6" width="8.5703125" bestFit="1" customWidth="1"/>
    <col min="7" max="7" width="47.7109375" bestFit="1" customWidth="1"/>
    <col min="8" max="9" width="16.7109375" bestFit="1" customWidth="1"/>
    <col min="10" max="10" width="24.42578125" bestFit="1" customWidth="1"/>
  </cols>
  <sheetData>
    <row r="2" spans="1:10" ht="18.75" x14ac:dyDescent="0.3">
      <c r="A2" s="3" t="s">
        <v>0</v>
      </c>
      <c r="B2" s="4" t="s">
        <v>302</v>
      </c>
    </row>
    <row r="3" spans="1:10" x14ac:dyDescent="0.25">
      <c r="A3" s="3" t="s">
        <v>2</v>
      </c>
      <c r="B3" s="1" t="s">
        <v>3</v>
      </c>
    </row>
    <row r="4" spans="1:10" x14ac:dyDescent="0.25">
      <c r="A4" s="3" t="s">
        <v>4</v>
      </c>
      <c r="B4" s="20">
        <v>6007</v>
      </c>
    </row>
    <row r="7" spans="1:10" x14ac:dyDescent="0.25">
      <c r="C7" s="22" t="s">
        <v>5</v>
      </c>
      <c r="D7" s="21"/>
      <c r="E7" s="21"/>
      <c r="F7" s="21"/>
      <c r="G7" s="21"/>
    </row>
    <row r="8" spans="1:10" x14ac:dyDescent="0.25">
      <c r="A8" s="3" t="s">
        <v>6</v>
      </c>
      <c r="B8" s="3" t="s">
        <v>7</v>
      </c>
      <c r="C8" s="15" t="s">
        <v>8</v>
      </c>
      <c r="D8" s="15" t="s">
        <v>9</v>
      </c>
      <c r="E8" s="15" t="s">
        <v>10</v>
      </c>
      <c r="F8" s="15" t="s">
        <v>11</v>
      </c>
      <c r="G8" s="15" t="s">
        <v>12</v>
      </c>
      <c r="H8" s="15" t="s">
        <v>13</v>
      </c>
      <c r="I8" s="15" t="s">
        <v>14</v>
      </c>
      <c r="J8" s="15" t="s">
        <v>15</v>
      </c>
    </row>
    <row r="9" spans="1:10" x14ac:dyDescent="0.25">
      <c r="A9" s="1" t="s">
        <v>16</v>
      </c>
      <c r="B9" s="1" t="s">
        <v>17</v>
      </c>
      <c r="C9" s="11"/>
      <c r="D9" s="11"/>
      <c r="E9" s="11">
        <v>192</v>
      </c>
      <c r="F9" s="11"/>
      <c r="G9" s="11">
        <f t="shared" ref="G9:G47" si="0">SUM(C9:F9)</f>
        <v>192</v>
      </c>
      <c r="H9" s="17">
        <f t="shared" ref="H9:H47" si="1">ROUND(G9/6007,2)</f>
        <v>0.03</v>
      </c>
      <c r="I9" s="16">
        <f t="shared" ref="I9:I47" si="2">ROUND(G9/$G$48,3)</f>
        <v>0</v>
      </c>
      <c r="J9" s="16">
        <f>ROUND(G9/129-1,2)</f>
        <v>0.49</v>
      </c>
    </row>
    <row r="10" spans="1:10" x14ac:dyDescent="0.25">
      <c r="A10" s="1" t="s">
        <v>16</v>
      </c>
      <c r="B10" s="1" t="s">
        <v>19</v>
      </c>
      <c r="C10" s="11">
        <v>266200</v>
      </c>
      <c r="D10" s="11"/>
      <c r="E10" s="11">
        <v>3390</v>
      </c>
      <c r="F10" s="11"/>
      <c r="G10" s="11">
        <f t="shared" si="0"/>
        <v>269590</v>
      </c>
      <c r="H10" s="17">
        <f t="shared" si="1"/>
        <v>44.88</v>
      </c>
      <c r="I10" s="16">
        <f t="shared" si="2"/>
        <v>0.112</v>
      </c>
      <c r="J10" s="16">
        <f>ROUND(G10/249500-1,2)</f>
        <v>0.08</v>
      </c>
    </row>
    <row r="11" spans="1:10" x14ac:dyDescent="0.25">
      <c r="A11" s="1" t="s">
        <v>16</v>
      </c>
      <c r="B11" s="1" t="s">
        <v>20</v>
      </c>
      <c r="C11" s="11">
        <v>215550</v>
      </c>
      <c r="D11" s="11"/>
      <c r="E11" s="11"/>
      <c r="F11" s="11"/>
      <c r="G11" s="11">
        <f t="shared" si="0"/>
        <v>215550</v>
      </c>
      <c r="H11" s="17">
        <f t="shared" si="1"/>
        <v>35.880000000000003</v>
      </c>
      <c r="I11" s="16">
        <f t="shared" si="2"/>
        <v>0.09</v>
      </c>
      <c r="J11" s="16">
        <f>ROUND(G11/217680-1,2)</f>
        <v>-0.01</v>
      </c>
    </row>
    <row r="12" spans="1:10" x14ac:dyDescent="0.25">
      <c r="A12" s="1" t="s">
        <v>16</v>
      </c>
      <c r="B12" s="1" t="s">
        <v>87</v>
      </c>
      <c r="C12" s="11"/>
      <c r="D12" s="11"/>
      <c r="E12" s="11">
        <v>254</v>
      </c>
      <c r="F12" s="11"/>
      <c r="G12" s="11">
        <f t="shared" si="0"/>
        <v>254</v>
      </c>
      <c r="H12" s="17">
        <f t="shared" si="1"/>
        <v>0.04</v>
      </c>
      <c r="I12" s="16">
        <f t="shared" si="2"/>
        <v>0</v>
      </c>
      <c r="J12" s="16">
        <f>ROUND(G12/353-1,2)</f>
        <v>-0.28000000000000003</v>
      </c>
    </row>
    <row r="13" spans="1:10" x14ac:dyDescent="0.25">
      <c r="A13" s="1" t="s">
        <v>16</v>
      </c>
      <c r="B13" s="1" t="s">
        <v>21</v>
      </c>
      <c r="C13" s="11"/>
      <c r="D13" s="11"/>
      <c r="E13" s="11">
        <v>159</v>
      </c>
      <c r="F13" s="11"/>
      <c r="G13" s="11">
        <f t="shared" si="0"/>
        <v>159</v>
      </c>
      <c r="H13" s="17">
        <f t="shared" si="1"/>
        <v>0.03</v>
      </c>
      <c r="I13" s="16">
        <f t="shared" si="2"/>
        <v>0</v>
      </c>
      <c r="J13" s="16">
        <f>ROUND(G13/186-1,2)</f>
        <v>-0.15</v>
      </c>
    </row>
    <row r="14" spans="1:10" x14ac:dyDescent="0.25">
      <c r="A14" s="1" t="s">
        <v>16</v>
      </c>
      <c r="B14" s="1" t="s">
        <v>22</v>
      </c>
      <c r="C14" s="11"/>
      <c r="D14" s="11"/>
      <c r="E14" s="11">
        <v>1960</v>
      </c>
      <c r="F14" s="11"/>
      <c r="G14" s="11">
        <f t="shared" si="0"/>
        <v>1960</v>
      </c>
      <c r="H14" s="17">
        <f t="shared" si="1"/>
        <v>0.33</v>
      </c>
      <c r="I14" s="16">
        <f t="shared" si="2"/>
        <v>1E-3</v>
      </c>
      <c r="J14" s="16">
        <f>ROUND(G14/2660-1,2)</f>
        <v>-0.26</v>
      </c>
    </row>
    <row r="15" spans="1:10" x14ac:dyDescent="0.25">
      <c r="A15" s="1" t="s">
        <v>16</v>
      </c>
      <c r="B15" s="1" t="s">
        <v>23</v>
      </c>
      <c r="C15" s="11"/>
      <c r="D15" s="11"/>
      <c r="E15" s="11">
        <v>46900</v>
      </c>
      <c r="F15" s="11"/>
      <c r="G15" s="11">
        <f t="shared" si="0"/>
        <v>46900</v>
      </c>
      <c r="H15" s="17">
        <f t="shared" si="1"/>
        <v>7.81</v>
      </c>
      <c r="I15" s="16">
        <f t="shared" si="2"/>
        <v>1.9E-2</v>
      </c>
      <c r="J15" s="16">
        <f>ROUND(G15/55440-1,2)</f>
        <v>-0.15</v>
      </c>
    </row>
    <row r="16" spans="1:10" x14ac:dyDescent="0.25">
      <c r="A16" s="1" t="s">
        <v>16</v>
      </c>
      <c r="B16" s="1" t="s">
        <v>24</v>
      </c>
      <c r="C16" s="11">
        <v>335780</v>
      </c>
      <c r="D16" s="11"/>
      <c r="E16" s="11">
        <v>31390</v>
      </c>
      <c r="F16" s="11"/>
      <c r="G16" s="11">
        <f t="shared" si="0"/>
        <v>367170</v>
      </c>
      <c r="H16" s="17">
        <f t="shared" si="1"/>
        <v>61.12</v>
      </c>
      <c r="I16" s="16">
        <f t="shared" si="2"/>
        <v>0.153</v>
      </c>
      <c r="J16" s="16">
        <f>ROUND(G16/354060-1,2)</f>
        <v>0.04</v>
      </c>
    </row>
    <row r="17" spans="1:10" x14ac:dyDescent="0.25">
      <c r="A17" s="1" t="s">
        <v>16</v>
      </c>
      <c r="B17" s="1" t="s">
        <v>25</v>
      </c>
      <c r="C17" s="11"/>
      <c r="D17" s="11"/>
      <c r="E17" s="11">
        <v>10330</v>
      </c>
      <c r="F17" s="11"/>
      <c r="G17" s="11">
        <f t="shared" si="0"/>
        <v>10330</v>
      </c>
      <c r="H17" s="17">
        <f t="shared" si="1"/>
        <v>1.72</v>
      </c>
      <c r="I17" s="16">
        <f t="shared" si="2"/>
        <v>4.0000000000000001E-3</v>
      </c>
      <c r="J17" s="16">
        <f>ROUND(G17/10150-1,2)</f>
        <v>0.02</v>
      </c>
    </row>
    <row r="18" spans="1:10" x14ac:dyDescent="0.25">
      <c r="A18" s="1" t="s">
        <v>16</v>
      </c>
      <c r="B18" s="1" t="s">
        <v>26</v>
      </c>
      <c r="C18" s="11">
        <v>395570</v>
      </c>
      <c r="D18" s="11"/>
      <c r="E18" s="11"/>
      <c r="F18" s="11">
        <v>1130</v>
      </c>
      <c r="G18" s="11">
        <f t="shared" si="0"/>
        <v>396700</v>
      </c>
      <c r="H18" s="17">
        <f t="shared" si="1"/>
        <v>66.040000000000006</v>
      </c>
      <c r="I18" s="16">
        <f t="shared" si="2"/>
        <v>0.16500000000000001</v>
      </c>
      <c r="J18" s="16">
        <f>ROUND(G18/382220-1,2)</f>
        <v>0.04</v>
      </c>
    </row>
    <row r="19" spans="1:10" x14ac:dyDescent="0.25">
      <c r="A19" s="1" t="s">
        <v>16</v>
      </c>
      <c r="B19" s="1" t="s">
        <v>27</v>
      </c>
      <c r="C19" s="11"/>
      <c r="D19" s="11"/>
      <c r="E19" s="11">
        <v>1039</v>
      </c>
      <c r="F19" s="11"/>
      <c r="G19" s="11">
        <f t="shared" si="0"/>
        <v>1039</v>
      </c>
      <c r="H19" s="17">
        <f t="shared" si="1"/>
        <v>0.17</v>
      </c>
      <c r="I19" s="16">
        <f t="shared" si="2"/>
        <v>0</v>
      </c>
      <c r="J19" s="16">
        <f>ROUND(G19/639-1,2)</f>
        <v>0.63</v>
      </c>
    </row>
    <row r="20" spans="1:10" x14ac:dyDescent="0.25">
      <c r="A20" s="1" t="s">
        <v>16</v>
      </c>
      <c r="B20" s="1" t="s">
        <v>28</v>
      </c>
      <c r="C20" s="11"/>
      <c r="D20" s="11"/>
      <c r="E20" s="11">
        <v>607</v>
      </c>
      <c r="F20" s="11"/>
      <c r="G20" s="11">
        <f t="shared" si="0"/>
        <v>607</v>
      </c>
      <c r="H20" s="17">
        <f t="shared" si="1"/>
        <v>0.1</v>
      </c>
      <c r="I20" s="16">
        <f t="shared" si="2"/>
        <v>0</v>
      </c>
      <c r="J20" s="16">
        <f>ROUND(G20/817-1,2)</f>
        <v>-0.26</v>
      </c>
    </row>
    <row r="21" spans="1:10" x14ac:dyDescent="0.25">
      <c r="A21" s="1" t="s">
        <v>16</v>
      </c>
      <c r="B21" s="1" t="s">
        <v>29</v>
      </c>
      <c r="C21" s="11"/>
      <c r="D21" s="11"/>
      <c r="E21" s="11">
        <v>131</v>
      </c>
      <c r="F21" s="11"/>
      <c r="G21" s="11">
        <f t="shared" si="0"/>
        <v>131</v>
      </c>
      <c r="H21" s="17">
        <f t="shared" si="1"/>
        <v>0.02</v>
      </c>
      <c r="I21" s="16">
        <f t="shared" si="2"/>
        <v>0</v>
      </c>
      <c r="J21" s="16">
        <f>ROUND(G21/199-1,2)</f>
        <v>-0.34</v>
      </c>
    </row>
    <row r="22" spans="1:10" x14ac:dyDescent="0.25">
      <c r="A22" s="1" t="s">
        <v>16</v>
      </c>
      <c r="B22" s="1" t="s">
        <v>30</v>
      </c>
      <c r="C22" s="11"/>
      <c r="D22" s="11"/>
      <c r="E22" s="11">
        <v>6990</v>
      </c>
      <c r="F22" s="11"/>
      <c r="G22" s="11">
        <f t="shared" si="0"/>
        <v>6990</v>
      </c>
      <c r="H22" s="17">
        <f t="shared" si="1"/>
        <v>1.1599999999999999</v>
      </c>
      <c r="I22" s="16">
        <f t="shared" si="2"/>
        <v>3.0000000000000001E-3</v>
      </c>
      <c r="J22" s="16">
        <f>ROUND(G22/7900-1,2)</f>
        <v>-0.12</v>
      </c>
    </row>
    <row r="23" spans="1:10" x14ac:dyDescent="0.25">
      <c r="A23" s="1" t="s">
        <v>16</v>
      </c>
      <c r="B23" s="1" t="s">
        <v>31</v>
      </c>
      <c r="C23" s="11"/>
      <c r="D23" s="11"/>
      <c r="E23" s="11">
        <v>1050</v>
      </c>
      <c r="F23" s="11"/>
      <c r="G23" s="11">
        <f t="shared" si="0"/>
        <v>1050</v>
      </c>
      <c r="H23" s="17">
        <f t="shared" si="1"/>
        <v>0.17</v>
      </c>
      <c r="I23" s="16">
        <f t="shared" si="2"/>
        <v>0</v>
      </c>
      <c r="J23" s="16">
        <f>ROUND(G23/1250-1,2)</f>
        <v>-0.16</v>
      </c>
    </row>
    <row r="24" spans="1:10" x14ac:dyDescent="0.25">
      <c r="A24" s="1" t="s">
        <v>16</v>
      </c>
      <c r="B24" s="1" t="s">
        <v>32</v>
      </c>
      <c r="C24" s="11"/>
      <c r="D24" s="11"/>
      <c r="E24" s="11">
        <v>620</v>
      </c>
      <c r="F24" s="11"/>
      <c r="G24" s="11">
        <f t="shared" si="0"/>
        <v>620</v>
      </c>
      <c r="H24" s="17">
        <f t="shared" si="1"/>
        <v>0.1</v>
      </c>
      <c r="I24" s="16">
        <f t="shared" si="2"/>
        <v>0</v>
      </c>
      <c r="J24" s="16">
        <f>ROUND(G24/1130-1,2)</f>
        <v>-0.45</v>
      </c>
    </row>
    <row r="25" spans="1:10" x14ac:dyDescent="0.25">
      <c r="A25" s="1" t="s">
        <v>16</v>
      </c>
      <c r="B25" s="1" t="s">
        <v>33</v>
      </c>
      <c r="C25" s="11"/>
      <c r="D25" s="11"/>
      <c r="E25" s="11">
        <v>2910</v>
      </c>
      <c r="F25" s="11"/>
      <c r="G25" s="11">
        <f t="shared" si="0"/>
        <v>2910</v>
      </c>
      <c r="H25" s="17">
        <f t="shared" si="1"/>
        <v>0.48</v>
      </c>
      <c r="I25" s="16">
        <f t="shared" si="2"/>
        <v>1E-3</v>
      </c>
      <c r="J25" s="16">
        <f>ROUND(G25/2991-1,2)</f>
        <v>-0.03</v>
      </c>
    </row>
    <row r="26" spans="1:10" x14ac:dyDescent="0.25">
      <c r="A26" s="1" t="s">
        <v>16</v>
      </c>
      <c r="B26" s="1" t="s">
        <v>34</v>
      </c>
      <c r="C26" s="11"/>
      <c r="D26" s="11">
        <v>61</v>
      </c>
      <c r="E26" s="11">
        <v>373</v>
      </c>
      <c r="F26" s="11"/>
      <c r="G26" s="11">
        <f t="shared" si="0"/>
        <v>434</v>
      </c>
      <c r="H26" s="17">
        <f t="shared" si="1"/>
        <v>7.0000000000000007E-2</v>
      </c>
      <c r="I26" s="16">
        <f t="shared" si="2"/>
        <v>0</v>
      </c>
      <c r="J26" s="16">
        <f>ROUND(G26/428-1,2)</f>
        <v>0.01</v>
      </c>
    </row>
    <row r="27" spans="1:10" x14ac:dyDescent="0.25">
      <c r="A27" s="1" t="s">
        <v>16</v>
      </c>
      <c r="B27" s="1" t="s">
        <v>35</v>
      </c>
      <c r="C27" s="11"/>
      <c r="D27" s="11"/>
      <c r="E27" s="11">
        <v>2174</v>
      </c>
      <c r="F27" s="11"/>
      <c r="G27" s="11">
        <f t="shared" si="0"/>
        <v>2174</v>
      </c>
      <c r="H27" s="17">
        <f t="shared" si="1"/>
        <v>0.36</v>
      </c>
      <c r="I27" s="16">
        <f t="shared" si="2"/>
        <v>1E-3</v>
      </c>
      <c r="J27" s="16">
        <f>ROUND(G27/1120-1,2)</f>
        <v>0.94</v>
      </c>
    </row>
    <row r="28" spans="1:10" x14ac:dyDescent="0.25">
      <c r="A28" s="1" t="s">
        <v>16</v>
      </c>
      <c r="B28" s="1" t="s">
        <v>37</v>
      </c>
      <c r="C28" s="11"/>
      <c r="D28" s="11"/>
      <c r="E28" s="11">
        <v>4300</v>
      </c>
      <c r="F28" s="11"/>
      <c r="G28" s="11">
        <f t="shared" si="0"/>
        <v>4300</v>
      </c>
      <c r="H28" s="17">
        <f t="shared" si="1"/>
        <v>0.72</v>
      </c>
      <c r="I28" s="16">
        <f t="shared" si="2"/>
        <v>2E-3</v>
      </c>
      <c r="J28" s="16">
        <f>ROUND(G28/3945-1,2)</f>
        <v>0.09</v>
      </c>
    </row>
    <row r="29" spans="1:10" x14ac:dyDescent="0.25">
      <c r="A29" s="1" t="s">
        <v>16</v>
      </c>
      <c r="B29" s="1" t="s">
        <v>38</v>
      </c>
      <c r="C29" s="11"/>
      <c r="D29" s="11"/>
      <c r="E29" s="11">
        <v>4240</v>
      </c>
      <c r="F29" s="11"/>
      <c r="G29" s="11">
        <f t="shared" si="0"/>
        <v>4240</v>
      </c>
      <c r="H29" s="17">
        <f t="shared" si="1"/>
        <v>0.71</v>
      </c>
      <c r="I29" s="16">
        <f t="shared" si="2"/>
        <v>2E-3</v>
      </c>
      <c r="J29" s="16">
        <f>ROUND(G29/11640-1,2)</f>
        <v>-0.64</v>
      </c>
    </row>
    <row r="30" spans="1:10" x14ac:dyDescent="0.25">
      <c r="A30" s="1" t="s">
        <v>16</v>
      </c>
      <c r="B30" s="1" t="s">
        <v>39</v>
      </c>
      <c r="C30" s="11"/>
      <c r="D30" s="11"/>
      <c r="E30" s="11">
        <v>16160</v>
      </c>
      <c r="F30" s="11"/>
      <c r="G30" s="11">
        <f t="shared" si="0"/>
        <v>16160</v>
      </c>
      <c r="H30" s="17">
        <f t="shared" si="1"/>
        <v>2.69</v>
      </c>
      <c r="I30" s="16">
        <f t="shared" si="2"/>
        <v>7.0000000000000001E-3</v>
      </c>
      <c r="J30" s="16">
        <f>ROUND(G30/9545-1,2)</f>
        <v>0.69</v>
      </c>
    </row>
    <row r="31" spans="1:10" x14ac:dyDescent="0.25">
      <c r="A31" s="1" t="s">
        <v>16</v>
      </c>
      <c r="B31" s="1" t="s">
        <v>40</v>
      </c>
      <c r="C31" s="11"/>
      <c r="D31" s="11"/>
      <c r="E31" s="11">
        <v>156350</v>
      </c>
      <c r="F31" s="11"/>
      <c r="G31" s="11">
        <f t="shared" si="0"/>
        <v>156350</v>
      </c>
      <c r="H31" s="17">
        <f t="shared" si="1"/>
        <v>26.03</v>
      </c>
      <c r="I31" s="16">
        <f t="shared" si="2"/>
        <v>6.5000000000000002E-2</v>
      </c>
      <c r="J31" s="16">
        <f>ROUND(G31/161560-1,2)</f>
        <v>-0.03</v>
      </c>
    </row>
    <row r="32" spans="1:10" x14ac:dyDescent="0.25">
      <c r="A32" s="1" t="s">
        <v>16</v>
      </c>
      <c r="B32" s="1" t="s">
        <v>41</v>
      </c>
      <c r="C32" s="11"/>
      <c r="D32" s="11"/>
      <c r="E32" s="11">
        <v>6330</v>
      </c>
      <c r="F32" s="11"/>
      <c r="G32" s="11">
        <f t="shared" si="0"/>
        <v>6330</v>
      </c>
      <c r="H32" s="17">
        <f t="shared" si="1"/>
        <v>1.05</v>
      </c>
      <c r="I32" s="16">
        <f t="shared" si="2"/>
        <v>3.0000000000000001E-3</v>
      </c>
      <c r="J32" s="16">
        <f>ROUND(G32/6900-1,2)</f>
        <v>-0.08</v>
      </c>
    </row>
    <row r="33" spans="1:10" x14ac:dyDescent="0.25">
      <c r="A33" s="1" t="s">
        <v>16</v>
      </c>
      <c r="B33" s="1" t="s">
        <v>42</v>
      </c>
      <c r="C33" s="11"/>
      <c r="D33" s="11"/>
      <c r="E33" s="11">
        <v>20070</v>
      </c>
      <c r="F33" s="11"/>
      <c r="G33" s="11">
        <f t="shared" si="0"/>
        <v>20070</v>
      </c>
      <c r="H33" s="17">
        <f t="shared" si="1"/>
        <v>3.34</v>
      </c>
      <c r="I33" s="16">
        <f t="shared" si="2"/>
        <v>8.0000000000000002E-3</v>
      </c>
      <c r="J33" s="16">
        <f>ROUND(G33/21750-1,2)</f>
        <v>-0.08</v>
      </c>
    </row>
    <row r="34" spans="1:10" x14ac:dyDescent="0.25">
      <c r="A34" s="1" t="s">
        <v>16</v>
      </c>
      <c r="B34" s="1" t="s">
        <v>44</v>
      </c>
      <c r="C34" s="11"/>
      <c r="D34" s="11"/>
      <c r="E34" s="11">
        <v>382460</v>
      </c>
      <c r="F34" s="11">
        <v>480</v>
      </c>
      <c r="G34" s="11">
        <f t="shared" si="0"/>
        <v>382940</v>
      </c>
      <c r="H34" s="17">
        <f t="shared" si="1"/>
        <v>63.75</v>
      </c>
      <c r="I34" s="16">
        <f t="shared" si="2"/>
        <v>0.159</v>
      </c>
      <c r="J34" s="16">
        <f>ROUND(G34/416800-1,2)</f>
        <v>-0.08</v>
      </c>
    </row>
    <row r="35" spans="1:10" x14ac:dyDescent="0.25">
      <c r="A35" s="1" t="s">
        <v>16</v>
      </c>
      <c r="B35" s="1" t="s">
        <v>36</v>
      </c>
      <c r="C35" s="11"/>
      <c r="D35" s="11"/>
      <c r="E35" s="11"/>
      <c r="F35" s="11"/>
      <c r="G35" s="11">
        <f t="shared" si="0"/>
        <v>0</v>
      </c>
      <c r="H35" s="17">
        <f t="shared" si="1"/>
        <v>0</v>
      </c>
      <c r="I35" s="16">
        <f t="shared" si="2"/>
        <v>0</v>
      </c>
      <c r="J35" s="16">
        <f>ROUND(G35/500-1,2)</f>
        <v>-1</v>
      </c>
    </row>
    <row r="36" spans="1:10" x14ac:dyDescent="0.25">
      <c r="A36" s="1" t="s">
        <v>16</v>
      </c>
      <c r="B36" s="1" t="s">
        <v>97</v>
      </c>
      <c r="C36" s="11"/>
      <c r="D36" s="11"/>
      <c r="E36" s="11"/>
      <c r="F36" s="11"/>
      <c r="G36" s="11">
        <f t="shared" si="0"/>
        <v>0</v>
      </c>
      <c r="H36" s="17">
        <f t="shared" si="1"/>
        <v>0</v>
      </c>
      <c r="I36" s="16">
        <f t="shared" si="2"/>
        <v>0</v>
      </c>
      <c r="J36" s="16"/>
    </row>
    <row r="37" spans="1:10" x14ac:dyDescent="0.25">
      <c r="A37" s="1" t="s">
        <v>16</v>
      </c>
      <c r="B37" s="1" t="s">
        <v>199</v>
      </c>
      <c r="C37" s="11"/>
      <c r="D37" s="11"/>
      <c r="E37" s="11"/>
      <c r="F37" s="11"/>
      <c r="G37" s="11">
        <f t="shared" si="0"/>
        <v>0</v>
      </c>
      <c r="H37" s="17">
        <f t="shared" si="1"/>
        <v>0</v>
      </c>
      <c r="I37" s="16">
        <f t="shared" si="2"/>
        <v>0</v>
      </c>
      <c r="J37" s="16">
        <f>ROUND(G37/193-1,2)</f>
        <v>-1</v>
      </c>
    </row>
    <row r="38" spans="1:10" x14ac:dyDescent="0.25">
      <c r="A38" s="1" t="s">
        <v>16</v>
      </c>
      <c r="B38" s="1" t="s">
        <v>224</v>
      </c>
      <c r="C38" s="11"/>
      <c r="D38" s="11"/>
      <c r="E38" s="11"/>
      <c r="F38" s="11"/>
      <c r="G38" s="11">
        <f t="shared" si="0"/>
        <v>0</v>
      </c>
      <c r="H38" s="17">
        <f t="shared" si="1"/>
        <v>0</v>
      </c>
      <c r="I38" s="16">
        <f t="shared" si="2"/>
        <v>0</v>
      </c>
      <c r="J38" s="16">
        <f>ROUND(G38/598-1,2)</f>
        <v>-1</v>
      </c>
    </row>
    <row r="39" spans="1:10" x14ac:dyDescent="0.25">
      <c r="A39" s="1" t="s">
        <v>16</v>
      </c>
      <c r="B39" s="1" t="s">
        <v>303</v>
      </c>
      <c r="C39" s="11"/>
      <c r="D39" s="11"/>
      <c r="E39" s="11"/>
      <c r="F39" s="11"/>
      <c r="G39" s="11">
        <f t="shared" si="0"/>
        <v>0</v>
      </c>
      <c r="H39" s="17">
        <f t="shared" si="1"/>
        <v>0</v>
      </c>
      <c r="I39" s="16">
        <f t="shared" si="2"/>
        <v>0</v>
      </c>
      <c r="J39" s="16">
        <f>ROUND(G39/7070-1,2)</f>
        <v>-1</v>
      </c>
    </row>
    <row r="40" spans="1:10" x14ac:dyDescent="0.25">
      <c r="A40" s="1" t="s">
        <v>16</v>
      </c>
      <c r="B40" s="1" t="s">
        <v>304</v>
      </c>
      <c r="C40" s="11"/>
      <c r="D40" s="11"/>
      <c r="E40" s="11"/>
      <c r="F40" s="11"/>
      <c r="G40" s="11">
        <f t="shared" si="0"/>
        <v>0</v>
      </c>
      <c r="H40" s="17">
        <f t="shared" si="1"/>
        <v>0</v>
      </c>
      <c r="I40" s="16">
        <f t="shared" si="2"/>
        <v>0</v>
      </c>
      <c r="J40" s="16"/>
    </row>
    <row r="41" spans="1:10" x14ac:dyDescent="0.25">
      <c r="A41" s="1" t="s">
        <v>45</v>
      </c>
      <c r="B41" s="1" t="s">
        <v>46</v>
      </c>
      <c r="C41" s="11">
        <v>332910</v>
      </c>
      <c r="D41" s="11"/>
      <c r="E41" s="11"/>
      <c r="F41" s="11"/>
      <c r="G41" s="11">
        <f t="shared" si="0"/>
        <v>332910</v>
      </c>
      <c r="H41" s="17">
        <f t="shared" si="1"/>
        <v>55.42</v>
      </c>
      <c r="I41" s="16">
        <f t="shared" si="2"/>
        <v>0.13800000000000001</v>
      </c>
      <c r="J41" s="16">
        <f>ROUND(G41/345960-1,2)</f>
        <v>-0.04</v>
      </c>
    </row>
    <row r="42" spans="1:10" x14ac:dyDescent="0.25">
      <c r="A42" s="1" t="s">
        <v>45</v>
      </c>
      <c r="B42" s="1" t="s">
        <v>48</v>
      </c>
      <c r="C42" s="11"/>
      <c r="D42" s="11"/>
      <c r="E42" s="11"/>
      <c r="F42" s="11">
        <v>68300</v>
      </c>
      <c r="G42" s="11">
        <f t="shared" si="0"/>
        <v>68300</v>
      </c>
      <c r="H42" s="17">
        <f t="shared" si="1"/>
        <v>11.37</v>
      </c>
      <c r="I42" s="16">
        <f t="shared" si="2"/>
        <v>2.8000000000000001E-2</v>
      </c>
      <c r="J42" s="16">
        <f>ROUND(G42/49830-1,2)</f>
        <v>0.37</v>
      </c>
    </row>
    <row r="43" spans="1:10" x14ac:dyDescent="0.25">
      <c r="A43" s="1" t="s">
        <v>45</v>
      </c>
      <c r="B43" s="1" t="s">
        <v>47</v>
      </c>
      <c r="C43" s="11"/>
      <c r="D43" s="11"/>
      <c r="E43" s="11">
        <v>90580</v>
      </c>
      <c r="F43" s="11"/>
      <c r="G43" s="11">
        <f t="shared" si="0"/>
        <v>90580</v>
      </c>
      <c r="H43" s="17">
        <f t="shared" si="1"/>
        <v>15.08</v>
      </c>
      <c r="I43" s="16">
        <f t="shared" si="2"/>
        <v>3.7999999999999999E-2</v>
      </c>
      <c r="J43" s="16">
        <f>ROUND(G43/88745-1,2)</f>
        <v>0.02</v>
      </c>
    </row>
    <row r="44" spans="1:10" x14ac:dyDescent="0.25">
      <c r="A44" s="1" t="s">
        <v>49</v>
      </c>
      <c r="B44" s="1" t="s">
        <v>51</v>
      </c>
      <c r="C44" s="11"/>
      <c r="D44" s="11"/>
      <c r="E44" s="11"/>
      <c r="F44" s="11"/>
      <c r="G44" s="11">
        <f t="shared" si="0"/>
        <v>0</v>
      </c>
      <c r="H44" s="17">
        <f t="shared" si="1"/>
        <v>0</v>
      </c>
      <c r="I44" s="16">
        <f t="shared" si="2"/>
        <v>0</v>
      </c>
      <c r="J44" s="16">
        <f>ROUND(G44/289-1,2)</f>
        <v>-1</v>
      </c>
    </row>
    <row r="45" spans="1:10" x14ac:dyDescent="0.25">
      <c r="A45" s="1" t="s">
        <v>49</v>
      </c>
      <c r="B45" s="1" t="s">
        <v>52</v>
      </c>
      <c r="C45" s="11"/>
      <c r="D45" s="11"/>
      <c r="E45" s="11"/>
      <c r="F45" s="11"/>
      <c r="G45" s="11">
        <f t="shared" si="0"/>
        <v>0</v>
      </c>
      <c r="H45" s="17">
        <f t="shared" si="1"/>
        <v>0</v>
      </c>
      <c r="I45" s="16">
        <f t="shared" si="2"/>
        <v>0</v>
      </c>
      <c r="J45" s="16"/>
    </row>
    <row r="46" spans="1:10" x14ac:dyDescent="0.25">
      <c r="A46" s="1" t="s">
        <v>49</v>
      </c>
      <c r="B46" s="1" t="s">
        <v>50</v>
      </c>
      <c r="C46" s="11"/>
      <c r="D46" s="11"/>
      <c r="E46" s="11"/>
      <c r="F46" s="11"/>
      <c r="G46" s="11">
        <f t="shared" si="0"/>
        <v>0</v>
      </c>
      <c r="H46" s="17">
        <f t="shared" si="1"/>
        <v>0</v>
      </c>
      <c r="I46" s="16">
        <f t="shared" si="2"/>
        <v>0</v>
      </c>
      <c r="J46" s="16"/>
    </row>
    <row r="47" spans="1:10" x14ac:dyDescent="0.25">
      <c r="A47" s="1" t="s">
        <v>49</v>
      </c>
      <c r="B47" s="1" t="s">
        <v>88</v>
      </c>
      <c r="C47" s="11"/>
      <c r="D47" s="11"/>
      <c r="E47" s="11"/>
      <c r="F47" s="11"/>
      <c r="G47" s="11">
        <f t="shared" si="0"/>
        <v>0</v>
      </c>
      <c r="H47" s="17">
        <f t="shared" si="1"/>
        <v>0</v>
      </c>
      <c r="I47" s="16">
        <f t="shared" si="2"/>
        <v>0</v>
      </c>
      <c r="J47" s="16"/>
    </row>
    <row r="48" spans="1:10" x14ac:dyDescent="0.25">
      <c r="A48" s="26" t="s">
        <v>12</v>
      </c>
      <c r="B48" s="26"/>
      <c r="C48" s="12">
        <f t="shared" ref="C48:H48" si="3">SUM(C8:C47)</f>
        <v>1546010</v>
      </c>
      <c r="D48" s="12">
        <f t="shared" si="3"/>
        <v>61</v>
      </c>
      <c r="E48" s="12">
        <f t="shared" si="3"/>
        <v>790959</v>
      </c>
      <c r="F48" s="12">
        <f t="shared" si="3"/>
        <v>69910</v>
      </c>
      <c r="G48" s="12">
        <f t="shared" si="3"/>
        <v>2406940</v>
      </c>
      <c r="H48" s="15">
        <f t="shared" si="3"/>
        <v>400.66999999999996</v>
      </c>
      <c r="I48" s="18"/>
      <c r="J48" s="18"/>
    </row>
    <row r="49" spans="1:10" x14ac:dyDescent="0.25">
      <c r="A49" s="26" t="s">
        <v>14</v>
      </c>
      <c r="B49" s="26"/>
      <c r="C49" s="13">
        <f>ROUND(C48/G48,2)</f>
        <v>0.64</v>
      </c>
      <c r="D49" s="13">
        <f>ROUND(D48/G48,2)</f>
        <v>0</v>
      </c>
      <c r="E49" s="13">
        <f>ROUND(E48/G48,2)</f>
        <v>0.33</v>
      </c>
      <c r="F49" s="13">
        <f>ROUND(F48/G48,2)</f>
        <v>0.03</v>
      </c>
      <c r="G49" s="14"/>
      <c r="H49" s="14"/>
      <c r="I49" s="18"/>
      <c r="J49" s="18"/>
    </row>
    <row r="50" spans="1:10" x14ac:dyDescent="0.25">
      <c r="A50" s="2" t="s">
        <v>53</v>
      </c>
      <c r="B50" s="2"/>
      <c r="C50" s="14"/>
      <c r="D50" s="14"/>
      <c r="E50" s="14"/>
      <c r="F50" s="14"/>
      <c r="G50" s="14"/>
      <c r="H50" s="14"/>
      <c r="I50" s="18"/>
      <c r="J50" s="18"/>
    </row>
    <row r="51" spans="1:10" x14ac:dyDescent="0.25">
      <c r="C51" s="9"/>
      <c r="D51" s="9"/>
      <c r="E51" s="9"/>
      <c r="F51" s="9"/>
      <c r="G51" s="9"/>
      <c r="H51" s="9"/>
      <c r="I51" s="10"/>
      <c r="J51" s="10"/>
    </row>
    <row r="52" spans="1:10" x14ac:dyDescent="0.25">
      <c r="C52" s="9"/>
      <c r="D52" s="9"/>
      <c r="E52" s="9"/>
      <c r="F52" s="9"/>
      <c r="G52" s="9"/>
      <c r="H52" s="9"/>
      <c r="I52" s="10"/>
      <c r="J52" s="10"/>
    </row>
    <row r="53" spans="1:10" x14ac:dyDescent="0.25">
      <c r="C53" s="9"/>
      <c r="D53" s="9"/>
      <c r="E53" s="9"/>
      <c r="F53" s="9"/>
      <c r="G53" s="9"/>
      <c r="H53" s="9"/>
      <c r="I53" s="10"/>
      <c r="J53" s="10"/>
    </row>
    <row r="54" spans="1:10" x14ac:dyDescent="0.25">
      <c r="A54" s="26" t="s">
        <v>54</v>
      </c>
      <c r="B54" s="26"/>
      <c r="C54" s="12" t="s">
        <v>8</v>
      </c>
      <c r="D54" s="12" t="s">
        <v>9</v>
      </c>
      <c r="E54" s="12" t="s">
        <v>10</v>
      </c>
      <c r="F54" s="12" t="s">
        <v>11</v>
      </c>
      <c r="G54" s="12" t="s">
        <v>12</v>
      </c>
      <c r="H54" s="15" t="s">
        <v>13</v>
      </c>
      <c r="I54" s="18"/>
      <c r="J54" s="18"/>
    </row>
    <row r="55" spans="1:10" x14ac:dyDescent="0.25">
      <c r="A55" s="21" t="s">
        <v>55</v>
      </c>
      <c r="B55" s="21"/>
      <c r="C55" s="11">
        <v>1213100</v>
      </c>
      <c r="D55" s="11">
        <v>61</v>
      </c>
      <c r="E55" s="11">
        <v>700379</v>
      </c>
      <c r="F55" s="11">
        <v>1610</v>
      </c>
      <c r="G55" s="11">
        <f>SUM(C55:F55)</f>
        <v>1915150</v>
      </c>
      <c r="H55" s="17">
        <f>ROUND(G55/6007,2)</f>
        <v>318.82</v>
      </c>
      <c r="I55" s="10"/>
      <c r="J55" s="10"/>
    </row>
    <row r="56" spans="1:10" x14ac:dyDescent="0.25">
      <c r="A56" s="21" t="s">
        <v>56</v>
      </c>
      <c r="B56" s="21"/>
      <c r="C56" s="11">
        <v>332910</v>
      </c>
      <c r="D56" s="11">
        <v>0</v>
      </c>
      <c r="E56" s="11">
        <v>90580</v>
      </c>
      <c r="F56" s="11">
        <v>68300</v>
      </c>
      <c r="G56" s="11">
        <f>SUM(C56:F56)</f>
        <v>491790</v>
      </c>
      <c r="H56" s="17">
        <f>ROUND(G56/6007,2)</f>
        <v>81.87</v>
      </c>
      <c r="I56" s="10"/>
      <c r="J56" s="10"/>
    </row>
    <row r="57" spans="1:10" x14ac:dyDescent="0.25">
      <c r="A57" s="21" t="s">
        <v>57</v>
      </c>
      <c r="B57" s="21"/>
      <c r="C57" s="11">
        <v>0</v>
      </c>
      <c r="D57" s="11">
        <v>0</v>
      </c>
      <c r="E57" s="11">
        <v>0</v>
      </c>
      <c r="F57" s="11">
        <v>0</v>
      </c>
      <c r="G57" s="11">
        <f>SUM(C57:F57)</f>
        <v>0</v>
      </c>
      <c r="H57" s="17">
        <f>ROUND(G57/6007,2)</f>
        <v>0</v>
      </c>
      <c r="I57" s="10"/>
      <c r="J57" s="10"/>
    </row>
    <row r="58" spans="1:10" x14ac:dyDescent="0.25">
      <c r="C58" s="9"/>
      <c r="D58" s="9"/>
      <c r="E58" s="9"/>
      <c r="F58" s="9"/>
      <c r="G58" s="9"/>
      <c r="H58" s="9"/>
      <c r="I58" s="10"/>
      <c r="J58" s="10"/>
    </row>
    <row r="59" spans="1:10" x14ac:dyDescent="0.25">
      <c r="C59" s="9"/>
      <c r="D59" s="9"/>
      <c r="E59" s="9"/>
      <c r="F59" s="9"/>
      <c r="G59" s="9"/>
      <c r="H59" s="9"/>
      <c r="I59" s="10"/>
      <c r="J59" s="10"/>
    </row>
    <row r="60" spans="1:10" x14ac:dyDescent="0.25">
      <c r="C60" s="9"/>
      <c r="D60" s="9"/>
      <c r="E60" s="9"/>
      <c r="F60" s="9"/>
      <c r="G60" s="9"/>
      <c r="H60" s="9"/>
      <c r="I60" s="10"/>
      <c r="J60" s="10"/>
    </row>
    <row r="61" spans="1:10" x14ac:dyDescent="0.25">
      <c r="C61" s="9"/>
      <c r="D61" s="9"/>
      <c r="E61" s="9"/>
      <c r="F61" s="9"/>
      <c r="G61" s="9"/>
      <c r="H61" s="9"/>
      <c r="I61" s="10"/>
      <c r="J61" s="10"/>
    </row>
    <row r="62" spans="1:10" x14ac:dyDescent="0.25">
      <c r="A62" s="26" t="s">
        <v>58</v>
      </c>
      <c r="B62" s="26"/>
      <c r="C62" s="15" t="s">
        <v>2</v>
      </c>
      <c r="D62" s="15">
        <v>2024</v>
      </c>
      <c r="E62" s="15" t="s">
        <v>60</v>
      </c>
      <c r="F62" s="14"/>
      <c r="G62" s="15" t="s">
        <v>61</v>
      </c>
      <c r="H62" s="15" t="s">
        <v>2</v>
      </c>
      <c r="I62" s="13" t="s">
        <v>62</v>
      </c>
      <c r="J62" s="13" t="s">
        <v>60</v>
      </c>
    </row>
    <row r="63" spans="1:10" x14ac:dyDescent="0.25">
      <c r="A63" s="21" t="s">
        <v>59</v>
      </c>
      <c r="B63" s="21"/>
      <c r="C63" s="16">
        <f>ROUND(0.8588, 4)</f>
        <v>0.85880000000000001</v>
      </c>
      <c r="D63" s="16">
        <f>ROUND(0.8464, 4)</f>
        <v>0.84640000000000004</v>
      </c>
      <c r="E63" s="16">
        <f>ROUND(0.7856, 4)</f>
        <v>0.78559999999999997</v>
      </c>
      <c r="F63" s="9"/>
      <c r="G63" s="15" t="s">
        <v>63</v>
      </c>
      <c r="H63" s="27" t="s">
        <v>64</v>
      </c>
      <c r="I63" s="24" t="s">
        <v>65</v>
      </c>
      <c r="J63" s="24" t="s">
        <v>66</v>
      </c>
    </row>
    <row r="64" spans="1:10" x14ac:dyDescent="0.25">
      <c r="A64" s="21" t="s">
        <v>67</v>
      </c>
      <c r="B64" s="21"/>
      <c r="C64" s="16">
        <f>ROUND(0.8588, 4)</f>
        <v>0.85880000000000001</v>
      </c>
      <c r="D64" s="16">
        <f>ROUND(0.8328, 4)</f>
        <v>0.83279999999999998</v>
      </c>
      <c r="E64" s="16">
        <f>ROUND(0.7702, 4)</f>
        <v>0.7702</v>
      </c>
      <c r="F64" s="9"/>
      <c r="G64" s="15" t="s">
        <v>68</v>
      </c>
      <c r="H64" s="28"/>
      <c r="I64" s="25"/>
      <c r="J64" s="25"/>
    </row>
    <row r="65" spans="1:10" x14ac:dyDescent="0.25">
      <c r="C65" s="9"/>
      <c r="D65" s="9"/>
      <c r="E65" s="9"/>
      <c r="F65" s="9"/>
      <c r="G65" s="9"/>
      <c r="H65" s="9"/>
      <c r="I65" s="10"/>
      <c r="J65" s="10"/>
    </row>
    <row r="66" spans="1:10" x14ac:dyDescent="0.25">
      <c r="C66" s="9"/>
      <c r="D66" s="9"/>
      <c r="E66" s="9"/>
      <c r="F66" s="9"/>
      <c r="G66" s="9"/>
      <c r="H66" s="9"/>
      <c r="I66" s="10"/>
      <c r="J66" s="10"/>
    </row>
    <row r="67" spans="1:10" x14ac:dyDescent="0.25">
      <c r="C67" s="9"/>
      <c r="D67" s="9"/>
      <c r="E67" s="9"/>
      <c r="F67" s="9"/>
      <c r="G67" s="9"/>
      <c r="H67" s="9"/>
      <c r="I67" s="10"/>
      <c r="J67" s="10"/>
    </row>
    <row r="68" spans="1:10" x14ac:dyDescent="0.25">
      <c r="A68" s="26" t="s">
        <v>69</v>
      </c>
      <c r="B68" s="26"/>
      <c r="C68" s="15" t="s">
        <v>2</v>
      </c>
      <c r="D68" s="15" t="s">
        <v>305</v>
      </c>
      <c r="E68" s="15" t="s">
        <v>71</v>
      </c>
      <c r="F68" s="15" t="s">
        <v>72</v>
      </c>
      <c r="G68" s="15" t="s">
        <v>73</v>
      </c>
      <c r="H68" s="14"/>
      <c r="I68" s="18"/>
      <c r="J68" s="18"/>
    </row>
    <row r="69" spans="1:10" x14ac:dyDescent="0.25">
      <c r="A69" s="21" t="s">
        <v>74</v>
      </c>
      <c r="B69" s="21"/>
      <c r="C69" s="17">
        <v>55.42</v>
      </c>
      <c r="D69" s="17">
        <v>67.760000000000005</v>
      </c>
      <c r="E69" s="17">
        <v>96.15</v>
      </c>
      <c r="F69" s="17">
        <v>57.94</v>
      </c>
      <c r="G69" s="17">
        <f>12/12*C69</f>
        <v>55.42</v>
      </c>
      <c r="H69" s="9"/>
      <c r="I69" s="10"/>
      <c r="J69" s="10"/>
    </row>
    <row r="70" spans="1:10" x14ac:dyDescent="0.25">
      <c r="A70" s="21" t="s">
        <v>75</v>
      </c>
      <c r="B70" s="21"/>
      <c r="C70" s="17">
        <v>66.040000000000006</v>
      </c>
      <c r="D70" s="17">
        <v>63.02</v>
      </c>
      <c r="E70" s="17">
        <v>62.28</v>
      </c>
      <c r="F70" s="17">
        <v>66.599999999999994</v>
      </c>
      <c r="G70" s="17">
        <f>12/12*C70</f>
        <v>66.040000000000006</v>
      </c>
      <c r="H70" s="9"/>
      <c r="I70" s="10"/>
      <c r="J70" s="10"/>
    </row>
    <row r="71" spans="1:10" x14ac:dyDescent="0.25">
      <c r="A71" s="21" t="s">
        <v>76</v>
      </c>
      <c r="B71" s="21"/>
      <c r="C71" s="17">
        <v>318.82</v>
      </c>
      <c r="D71" s="17">
        <v>324.51</v>
      </c>
      <c r="E71" s="17">
        <v>300.02</v>
      </c>
      <c r="F71" s="17">
        <v>295.08</v>
      </c>
      <c r="G71" s="17">
        <f>12/12*C71</f>
        <v>318.82</v>
      </c>
      <c r="H71" s="9"/>
      <c r="I71" s="10"/>
      <c r="J71" s="10"/>
    </row>
    <row r="72" spans="1:10" x14ac:dyDescent="0.25">
      <c r="A72" s="21" t="s">
        <v>77</v>
      </c>
      <c r="B72" s="21"/>
      <c r="C72" s="17">
        <v>81.87</v>
      </c>
      <c r="D72" s="17">
        <v>92.97</v>
      </c>
      <c r="E72" s="17">
        <v>120.96</v>
      </c>
      <c r="F72" s="17">
        <v>83.12</v>
      </c>
      <c r="G72" s="17">
        <f>12/12*C72</f>
        <v>81.87</v>
      </c>
      <c r="H72" s="9"/>
      <c r="I72" s="10"/>
      <c r="J72" s="10"/>
    </row>
    <row r="75" spans="1:10" x14ac:dyDescent="0.25">
      <c r="A75" s="22" t="s">
        <v>61</v>
      </c>
      <c r="B75" s="23"/>
    </row>
    <row r="76" spans="1:10" x14ac:dyDescent="0.25">
      <c r="A76" s="3" t="s">
        <v>78</v>
      </c>
      <c r="B76" s="1" t="s">
        <v>306</v>
      </c>
    </row>
    <row r="77" spans="1:10" x14ac:dyDescent="0.25">
      <c r="A77" s="3" t="s">
        <v>71</v>
      </c>
      <c r="B77" s="1" t="s">
        <v>80</v>
      </c>
    </row>
    <row r="78" spans="1:10" x14ac:dyDescent="0.25">
      <c r="A78" s="3" t="s">
        <v>72</v>
      </c>
      <c r="B78" s="1" t="s">
        <v>81</v>
      </c>
    </row>
    <row r="79" spans="1:10" x14ac:dyDescent="0.25">
      <c r="A79" s="3" t="s">
        <v>73</v>
      </c>
      <c r="B79" s="1" t="s">
        <v>82</v>
      </c>
    </row>
  </sheetData>
  <mergeCells count="19">
    <mergeCell ref="C7:G7"/>
    <mergeCell ref="A48:B48"/>
    <mergeCell ref="A49:B49"/>
    <mergeCell ref="A54:B54"/>
    <mergeCell ref="A55:B55"/>
    <mergeCell ref="J63:J64"/>
    <mergeCell ref="A64:B64"/>
    <mergeCell ref="A68:B68"/>
    <mergeCell ref="A69:B69"/>
    <mergeCell ref="A56:B56"/>
    <mergeCell ref="A57:B57"/>
    <mergeCell ref="A62:B62"/>
    <mergeCell ref="A63:B63"/>
    <mergeCell ref="H63:H64"/>
    <mergeCell ref="A70:B70"/>
    <mergeCell ref="A71:B71"/>
    <mergeCell ref="A72:B72"/>
    <mergeCell ref="A75:B75"/>
    <mergeCell ref="I63:I64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2:J75"/>
  <sheetViews>
    <sheetView workbookViewId="0">
      <selection activeCell="H5" sqref="H5"/>
    </sheetView>
  </sheetViews>
  <sheetFormatPr defaultRowHeight="15" x14ac:dyDescent="0.25"/>
  <cols>
    <col min="1" max="1" width="28.42578125" bestFit="1" customWidth="1"/>
    <col min="2" max="2" width="59.5703125" bestFit="1" customWidth="1"/>
    <col min="3" max="3" width="12.7109375" bestFit="1" customWidth="1"/>
    <col min="4" max="4" width="35.140625" bestFit="1" customWidth="1"/>
    <col min="5" max="5" width="13.85546875" bestFit="1" customWidth="1"/>
    <col min="6" max="6" width="8.5703125" bestFit="1" customWidth="1"/>
    <col min="7" max="7" width="47.7109375" bestFit="1" customWidth="1"/>
    <col min="8" max="9" width="16.7109375" bestFit="1" customWidth="1"/>
    <col min="10" max="10" width="24.42578125" bestFit="1" customWidth="1"/>
  </cols>
  <sheetData>
    <row r="2" spans="1:10" ht="18.75" x14ac:dyDescent="0.3">
      <c r="A2" s="3" t="s">
        <v>0</v>
      </c>
      <c r="B2" s="4" t="s">
        <v>307</v>
      </c>
    </row>
    <row r="3" spans="1:10" x14ac:dyDescent="0.25">
      <c r="A3" s="3" t="s">
        <v>2</v>
      </c>
      <c r="B3" s="1" t="s">
        <v>3</v>
      </c>
    </row>
    <row r="4" spans="1:10" x14ac:dyDescent="0.25">
      <c r="A4" s="3" t="s">
        <v>4</v>
      </c>
      <c r="B4" s="20">
        <v>1668</v>
      </c>
    </row>
    <row r="7" spans="1:10" x14ac:dyDescent="0.25">
      <c r="C7" s="22" t="s">
        <v>5</v>
      </c>
      <c r="D7" s="21"/>
      <c r="E7" s="21"/>
      <c r="F7" s="21"/>
      <c r="G7" s="21"/>
    </row>
    <row r="8" spans="1:10" x14ac:dyDescent="0.25">
      <c r="A8" s="3" t="s">
        <v>6</v>
      </c>
      <c r="B8" s="3" t="s">
        <v>7</v>
      </c>
      <c r="C8" s="15" t="s">
        <v>8</v>
      </c>
      <c r="D8" s="15" t="s">
        <v>9</v>
      </c>
      <c r="E8" s="15" t="s">
        <v>10</v>
      </c>
      <c r="F8" s="15" t="s">
        <v>11</v>
      </c>
      <c r="G8" s="15" t="s">
        <v>12</v>
      </c>
      <c r="H8" s="15" t="s">
        <v>13</v>
      </c>
      <c r="I8" s="15" t="s">
        <v>14</v>
      </c>
      <c r="J8" s="15" t="s">
        <v>15</v>
      </c>
    </row>
    <row r="9" spans="1:10" x14ac:dyDescent="0.25">
      <c r="A9" s="1" t="s">
        <v>49</v>
      </c>
      <c r="B9" s="1" t="s">
        <v>50</v>
      </c>
      <c r="C9" s="11"/>
      <c r="D9" s="11"/>
      <c r="E9" s="11"/>
      <c r="F9" s="11">
        <v>80</v>
      </c>
      <c r="G9" s="11">
        <f t="shared" ref="G9:G40" si="0">SUM(C9:F9)</f>
        <v>80</v>
      </c>
      <c r="H9" s="17">
        <f t="shared" ref="H9:H40" si="1">ROUND(G9/1668,2)</f>
        <v>0.05</v>
      </c>
      <c r="I9" s="16">
        <f t="shared" ref="I9:I40" si="2">ROUND(G9/$G$41,3)</f>
        <v>0</v>
      </c>
      <c r="J9" s="16"/>
    </row>
    <row r="10" spans="1:10" x14ac:dyDescent="0.25">
      <c r="A10" s="1" t="s">
        <v>49</v>
      </c>
      <c r="B10" s="1" t="s">
        <v>52</v>
      </c>
      <c r="C10" s="11"/>
      <c r="D10" s="11"/>
      <c r="E10" s="11"/>
      <c r="F10" s="11"/>
      <c r="G10" s="11">
        <f t="shared" si="0"/>
        <v>0</v>
      </c>
      <c r="H10" s="17">
        <f t="shared" si="1"/>
        <v>0</v>
      </c>
      <c r="I10" s="16">
        <f t="shared" si="2"/>
        <v>0</v>
      </c>
      <c r="J10" s="16"/>
    </row>
    <row r="11" spans="1:10" x14ac:dyDescent="0.25">
      <c r="A11" s="1" t="s">
        <v>49</v>
      </c>
      <c r="B11" s="1" t="s">
        <v>51</v>
      </c>
      <c r="C11" s="11"/>
      <c r="D11" s="11"/>
      <c r="E11" s="11"/>
      <c r="F11" s="11"/>
      <c r="G11" s="11">
        <f t="shared" si="0"/>
        <v>0</v>
      </c>
      <c r="H11" s="17">
        <f t="shared" si="1"/>
        <v>0</v>
      </c>
      <c r="I11" s="16">
        <f t="shared" si="2"/>
        <v>0</v>
      </c>
      <c r="J11" s="16">
        <f>ROUND(G11/278-1,2)</f>
        <v>-1</v>
      </c>
    </row>
    <row r="12" spans="1:10" x14ac:dyDescent="0.25">
      <c r="A12" s="1" t="s">
        <v>16</v>
      </c>
      <c r="B12" s="1" t="s">
        <v>17</v>
      </c>
      <c r="C12" s="11"/>
      <c r="D12" s="11"/>
      <c r="E12" s="11">
        <v>38</v>
      </c>
      <c r="F12" s="11"/>
      <c r="G12" s="11">
        <f t="shared" si="0"/>
        <v>38</v>
      </c>
      <c r="H12" s="17">
        <f t="shared" si="1"/>
        <v>0.02</v>
      </c>
      <c r="I12" s="16">
        <f t="shared" si="2"/>
        <v>0</v>
      </c>
      <c r="J12" s="16">
        <f>ROUND(G12/21-1,2)</f>
        <v>0.81</v>
      </c>
    </row>
    <row r="13" spans="1:10" x14ac:dyDescent="0.25">
      <c r="A13" s="1" t="s">
        <v>16</v>
      </c>
      <c r="B13" s="1" t="s">
        <v>19</v>
      </c>
      <c r="C13" s="11">
        <v>51940</v>
      </c>
      <c r="D13" s="11"/>
      <c r="E13" s="11"/>
      <c r="F13" s="11">
        <v>300</v>
      </c>
      <c r="G13" s="11">
        <f t="shared" si="0"/>
        <v>52240</v>
      </c>
      <c r="H13" s="17">
        <f t="shared" si="1"/>
        <v>31.32</v>
      </c>
      <c r="I13" s="16">
        <f t="shared" si="2"/>
        <v>0.10199999999999999</v>
      </c>
      <c r="J13" s="16">
        <f>ROUND(G13/51680-1,2)</f>
        <v>0.01</v>
      </c>
    </row>
    <row r="14" spans="1:10" x14ac:dyDescent="0.25">
      <c r="A14" s="1" t="s">
        <v>16</v>
      </c>
      <c r="B14" s="1" t="s">
        <v>20</v>
      </c>
      <c r="C14" s="11">
        <v>77130</v>
      </c>
      <c r="D14" s="11"/>
      <c r="E14" s="11"/>
      <c r="F14" s="11">
        <v>100</v>
      </c>
      <c r="G14" s="11">
        <f t="shared" si="0"/>
        <v>77230</v>
      </c>
      <c r="H14" s="17">
        <f t="shared" si="1"/>
        <v>46.3</v>
      </c>
      <c r="I14" s="16">
        <f t="shared" si="2"/>
        <v>0.15</v>
      </c>
      <c r="J14" s="16">
        <f>ROUND(G14/87150-1,2)</f>
        <v>-0.11</v>
      </c>
    </row>
    <row r="15" spans="1:10" x14ac:dyDescent="0.25">
      <c r="A15" s="1" t="s">
        <v>16</v>
      </c>
      <c r="B15" s="1" t="s">
        <v>87</v>
      </c>
      <c r="C15" s="11"/>
      <c r="D15" s="11"/>
      <c r="E15" s="11">
        <v>65</v>
      </c>
      <c r="F15" s="11"/>
      <c r="G15" s="11">
        <f t="shared" si="0"/>
        <v>65</v>
      </c>
      <c r="H15" s="17">
        <f t="shared" si="1"/>
        <v>0.04</v>
      </c>
      <c r="I15" s="16">
        <f t="shared" si="2"/>
        <v>0</v>
      </c>
      <c r="J15" s="16">
        <f>ROUND(G15/58-1,2)</f>
        <v>0.12</v>
      </c>
    </row>
    <row r="16" spans="1:10" x14ac:dyDescent="0.25">
      <c r="A16" s="1" t="s">
        <v>16</v>
      </c>
      <c r="B16" s="1" t="s">
        <v>21</v>
      </c>
      <c r="C16" s="11"/>
      <c r="D16" s="11"/>
      <c r="E16" s="11">
        <v>118</v>
      </c>
      <c r="F16" s="11"/>
      <c r="G16" s="11">
        <f t="shared" si="0"/>
        <v>118</v>
      </c>
      <c r="H16" s="17">
        <f t="shared" si="1"/>
        <v>7.0000000000000007E-2</v>
      </c>
      <c r="I16" s="16">
        <f t="shared" si="2"/>
        <v>0</v>
      </c>
      <c r="J16" s="16">
        <f>ROUND(G16/65-1,2)</f>
        <v>0.82</v>
      </c>
    </row>
    <row r="17" spans="1:10" x14ac:dyDescent="0.25">
      <c r="A17" s="1" t="s">
        <v>16</v>
      </c>
      <c r="B17" s="1" t="s">
        <v>96</v>
      </c>
      <c r="C17" s="11"/>
      <c r="D17" s="11"/>
      <c r="E17" s="11"/>
      <c r="F17" s="11">
        <v>10</v>
      </c>
      <c r="G17" s="11">
        <f t="shared" si="0"/>
        <v>10</v>
      </c>
      <c r="H17" s="17">
        <f t="shared" si="1"/>
        <v>0.01</v>
      </c>
      <c r="I17" s="16">
        <f t="shared" si="2"/>
        <v>0</v>
      </c>
      <c r="J17" s="16"/>
    </row>
    <row r="18" spans="1:10" x14ac:dyDescent="0.25">
      <c r="A18" s="1" t="s">
        <v>16</v>
      </c>
      <c r="B18" s="1" t="s">
        <v>23</v>
      </c>
      <c r="C18" s="11"/>
      <c r="D18" s="11"/>
      <c r="E18" s="11">
        <v>17480</v>
      </c>
      <c r="F18" s="11"/>
      <c r="G18" s="11">
        <f t="shared" si="0"/>
        <v>17480</v>
      </c>
      <c r="H18" s="17">
        <f t="shared" si="1"/>
        <v>10.48</v>
      </c>
      <c r="I18" s="16">
        <f t="shared" si="2"/>
        <v>3.4000000000000002E-2</v>
      </c>
      <c r="J18" s="16">
        <f>ROUND(G18/12600-1,2)</f>
        <v>0.39</v>
      </c>
    </row>
    <row r="19" spans="1:10" x14ac:dyDescent="0.25">
      <c r="A19" s="1" t="s">
        <v>16</v>
      </c>
      <c r="B19" s="1" t="s">
        <v>24</v>
      </c>
      <c r="C19" s="11">
        <v>63480</v>
      </c>
      <c r="D19" s="11"/>
      <c r="E19" s="11"/>
      <c r="F19" s="11">
        <v>80</v>
      </c>
      <c r="G19" s="11">
        <f t="shared" si="0"/>
        <v>63560</v>
      </c>
      <c r="H19" s="17">
        <f t="shared" si="1"/>
        <v>38.11</v>
      </c>
      <c r="I19" s="16">
        <f t="shared" si="2"/>
        <v>0.124</v>
      </c>
      <c r="J19" s="16">
        <f>ROUND(G19/64100-1,2)</f>
        <v>-0.01</v>
      </c>
    </row>
    <row r="20" spans="1:10" x14ac:dyDescent="0.25">
      <c r="A20" s="1" t="s">
        <v>16</v>
      </c>
      <c r="B20" s="1" t="s">
        <v>25</v>
      </c>
      <c r="C20" s="11"/>
      <c r="D20" s="11"/>
      <c r="E20" s="11">
        <v>2560</v>
      </c>
      <c r="F20" s="11"/>
      <c r="G20" s="11">
        <f t="shared" si="0"/>
        <v>2560</v>
      </c>
      <c r="H20" s="17">
        <f t="shared" si="1"/>
        <v>1.53</v>
      </c>
      <c r="I20" s="16">
        <f t="shared" si="2"/>
        <v>5.0000000000000001E-3</v>
      </c>
      <c r="J20" s="16"/>
    </row>
    <row r="21" spans="1:10" x14ac:dyDescent="0.25">
      <c r="A21" s="1" t="s">
        <v>16</v>
      </c>
      <c r="B21" s="1" t="s">
        <v>26</v>
      </c>
      <c r="C21" s="11">
        <v>101160</v>
      </c>
      <c r="D21" s="11"/>
      <c r="E21" s="11"/>
      <c r="F21" s="11">
        <v>400</v>
      </c>
      <c r="G21" s="11">
        <f t="shared" si="0"/>
        <v>101560</v>
      </c>
      <c r="H21" s="17">
        <f t="shared" si="1"/>
        <v>60.89</v>
      </c>
      <c r="I21" s="16">
        <f t="shared" si="2"/>
        <v>0.19800000000000001</v>
      </c>
      <c r="J21" s="16">
        <f>ROUND(G21/106870-1,2)</f>
        <v>-0.05</v>
      </c>
    </row>
    <row r="22" spans="1:10" x14ac:dyDescent="0.25">
      <c r="A22" s="1" t="s">
        <v>16</v>
      </c>
      <c r="B22" s="1" t="s">
        <v>27</v>
      </c>
      <c r="C22" s="11"/>
      <c r="D22" s="11"/>
      <c r="E22" s="11">
        <v>700</v>
      </c>
      <c r="F22" s="11"/>
      <c r="G22" s="11">
        <f t="shared" si="0"/>
        <v>700</v>
      </c>
      <c r="H22" s="17">
        <f t="shared" si="1"/>
        <v>0.42</v>
      </c>
      <c r="I22" s="16">
        <f t="shared" si="2"/>
        <v>1E-3</v>
      </c>
      <c r="J22" s="16">
        <f>ROUND(G22/239-1,2)</f>
        <v>1.93</v>
      </c>
    </row>
    <row r="23" spans="1:10" x14ac:dyDescent="0.25">
      <c r="A23" s="1" t="s">
        <v>16</v>
      </c>
      <c r="B23" s="1" t="s">
        <v>28</v>
      </c>
      <c r="C23" s="11"/>
      <c r="D23" s="11"/>
      <c r="E23" s="11">
        <v>482</v>
      </c>
      <c r="F23" s="11"/>
      <c r="G23" s="11">
        <f t="shared" si="0"/>
        <v>482</v>
      </c>
      <c r="H23" s="17">
        <f t="shared" si="1"/>
        <v>0.28999999999999998</v>
      </c>
      <c r="I23" s="16">
        <f t="shared" si="2"/>
        <v>1E-3</v>
      </c>
      <c r="J23" s="16">
        <f>ROUND(G23/220-1,2)</f>
        <v>1.19</v>
      </c>
    </row>
    <row r="24" spans="1:10" x14ac:dyDescent="0.25">
      <c r="A24" s="1" t="s">
        <v>16</v>
      </c>
      <c r="B24" s="1" t="s">
        <v>29</v>
      </c>
      <c r="C24" s="11"/>
      <c r="D24" s="11"/>
      <c r="E24" s="11">
        <v>114</v>
      </c>
      <c r="F24" s="11"/>
      <c r="G24" s="11">
        <f t="shared" si="0"/>
        <v>114</v>
      </c>
      <c r="H24" s="17">
        <f t="shared" si="1"/>
        <v>7.0000000000000007E-2</v>
      </c>
      <c r="I24" s="16">
        <f t="shared" si="2"/>
        <v>0</v>
      </c>
      <c r="J24" s="16"/>
    </row>
    <row r="25" spans="1:10" x14ac:dyDescent="0.25">
      <c r="A25" s="1" t="s">
        <v>16</v>
      </c>
      <c r="B25" s="1" t="s">
        <v>30</v>
      </c>
      <c r="C25" s="11"/>
      <c r="D25" s="11"/>
      <c r="E25" s="11">
        <v>2770</v>
      </c>
      <c r="F25" s="11"/>
      <c r="G25" s="11">
        <f t="shared" si="0"/>
        <v>2770</v>
      </c>
      <c r="H25" s="17">
        <f t="shared" si="1"/>
        <v>1.66</v>
      </c>
      <c r="I25" s="16">
        <f t="shared" si="2"/>
        <v>5.0000000000000001E-3</v>
      </c>
      <c r="J25" s="16">
        <f>ROUND(G25/1990-1,2)</f>
        <v>0.39</v>
      </c>
    </row>
    <row r="26" spans="1:10" x14ac:dyDescent="0.25">
      <c r="A26" s="1" t="s">
        <v>16</v>
      </c>
      <c r="B26" s="1" t="s">
        <v>31</v>
      </c>
      <c r="C26" s="11"/>
      <c r="D26" s="11"/>
      <c r="E26" s="11">
        <v>570</v>
      </c>
      <c r="F26" s="11"/>
      <c r="G26" s="11">
        <f t="shared" si="0"/>
        <v>570</v>
      </c>
      <c r="H26" s="17">
        <f t="shared" si="1"/>
        <v>0.34</v>
      </c>
      <c r="I26" s="16">
        <f t="shared" si="2"/>
        <v>1E-3</v>
      </c>
      <c r="J26" s="16">
        <f>ROUND(G26/500-1,2)</f>
        <v>0.14000000000000001</v>
      </c>
    </row>
    <row r="27" spans="1:10" x14ac:dyDescent="0.25">
      <c r="A27" s="1" t="s">
        <v>16</v>
      </c>
      <c r="B27" s="1" t="s">
        <v>33</v>
      </c>
      <c r="C27" s="11"/>
      <c r="D27" s="11"/>
      <c r="E27" s="11">
        <v>1341</v>
      </c>
      <c r="F27" s="11"/>
      <c r="G27" s="11">
        <f t="shared" si="0"/>
        <v>1341</v>
      </c>
      <c r="H27" s="17">
        <f t="shared" si="1"/>
        <v>0.8</v>
      </c>
      <c r="I27" s="16">
        <f t="shared" si="2"/>
        <v>3.0000000000000001E-3</v>
      </c>
      <c r="J27" s="16">
        <f>ROUND(G27/530-1,2)</f>
        <v>1.53</v>
      </c>
    </row>
    <row r="28" spans="1:10" x14ac:dyDescent="0.25">
      <c r="A28" s="1" t="s">
        <v>16</v>
      </c>
      <c r="B28" s="1" t="s">
        <v>34</v>
      </c>
      <c r="C28" s="11"/>
      <c r="D28" s="11">
        <v>12</v>
      </c>
      <c r="E28" s="11">
        <v>248</v>
      </c>
      <c r="F28" s="11"/>
      <c r="G28" s="11">
        <f t="shared" si="0"/>
        <v>260</v>
      </c>
      <c r="H28" s="17">
        <f t="shared" si="1"/>
        <v>0.16</v>
      </c>
      <c r="I28" s="16">
        <f t="shared" si="2"/>
        <v>1E-3</v>
      </c>
      <c r="J28" s="16">
        <f>ROUND(G28/223-1,2)</f>
        <v>0.17</v>
      </c>
    </row>
    <row r="29" spans="1:10" x14ac:dyDescent="0.25">
      <c r="A29" s="1" t="s">
        <v>16</v>
      </c>
      <c r="B29" s="1" t="s">
        <v>37</v>
      </c>
      <c r="C29" s="11"/>
      <c r="D29" s="11"/>
      <c r="E29" s="11">
        <v>1190</v>
      </c>
      <c r="F29" s="11"/>
      <c r="G29" s="11">
        <f t="shared" si="0"/>
        <v>1190</v>
      </c>
      <c r="H29" s="17">
        <f t="shared" si="1"/>
        <v>0.71</v>
      </c>
      <c r="I29" s="16">
        <f t="shared" si="2"/>
        <v>2E-3</v>
      </c>
      <c r="J29" s="16">
        <f>ROUND(G29/870-1,2)</f>
        <v>0.37</v>
      </c>
    </row>
    <row r="30" spans="1:10" x14ac:dyDescent="0.25">
      <c r="A30" s="1" t="s">
        <v>16</v>
      </c>
      <c r="B30" s="1" t="s">
        <v>38</v>
      </c>
      <c r="C30" s="11"/>
      <c r="D30" s="11"/>
      <c r="E30" s="11">
        <v>1440</v>
      </c>
      <c r="F30" s="11"/>
      <c r="G30" s="11">
        <f t="shared" si="0"/>
        <v>1440</v>
      </c>
      <c r="H30" s="17">
        <f t="shared" si="1"/>
        <v>0.86</v>
      </c>
      <c r="I30" s="16">
        <f t="shared" si="2"/>
        <v>3.0000000000000001E-3</v>
      </c>
      <c r="J30" s="16">
        <f>ROUND(G30/2260-1,2)</f>
        <v>-0.36</v>
      </c>
    </row>
    <row r="31" spans="1:10" x14ac:dyDescent="0.25">
      <c r="A31" s="1" t="s">
        <v>16</v>
      </c>
      <c r="B31" s="1" t="s">
        <v>39</v>
      </c>
      <c r="C31" s="11"/>
      <c r="D31" s="11"/>
      <c r="E31" s="11">
        <v>5670</v>
      </c>
      <c r="F31" s="11"/>
      <c r="G31" s="11">
        <f t="shared" si="0"/>
        <v>5670</v>
      </c>
      <c r="H31" s="17">
        <f t="shared" si="1"/>
        <v>3.4</v>
      </c>
      <c r="I31" s="16">
        <f t="shared" si="2"/>
        <v>1.0999999999999999E-2</v>
      </c>
      <c r="J31" s="16">
        <f>ROUND(G31/1930-1,2)</f>
        <v>1.94</v>
      </c>
    </row>
    <row r="32" spans="1:10" x14ac:dyDescent="0.25">
      <c r="A32" s="1" t="s">
        <v>16</v>
      </c>
      <c r="B32" s="1" t="s">
        <v>40</v>
      </c>
      <c r="C32" s="11"/>
      <c r="D32" s="11"/>
      <c r="E32" s="11">
        <v>37725</v>
      </c>
      <c r="F32" s="11"/>
      <c r="G32" s="11">
        <f t="shared" si="0"/>
        <v>37725</v>
      </c>
      <c r="H32" s="17">
        <f t="shared" si="1"/>
        <v>22.62</v>
      </c>
      <c r="I32" s="16">
        <f t="shared" si="2"/>
        <v>7.3999999999999996E-2</v>
      </c>
      <c r="J32" s="16">
        <f>ROUND(G32/26250-1,2)</f>
        <v>0.44</v>
      </c>
    </row>
    <row r="33" spans="1:10" x14ac:dyDescent="0.25">
      <c r="A33" s="1" t="s">
        <v>16</v>
      </c>
      <c r="B33" s="1" t="s">
        <v>42</v>
      </c>
      <c r="C33" s="11"/>
      <c r="D33" s="11"/>
      <c r="E33" s="11">
        <v>10890</v>
      </c>
      <c r="F33" s="11"/>
      <c r="G33" s="11">
        <f t="shared" si="0"/>
        <v>10890</v>
      </c>
      <c r="H33" s="17">
        <f t="shared" si="1"/>
        <v>6.53</v>
      </c>
      <c r="I33" s="16">
        <f t="shared" si="2"/>
        <v>2.1000000000000001E-2</v>
      </c>
      <c r="J33" s="16">
        <f>ROUND(G33/7910-1,2)</f>
        <v>0.38</v>
      </c>
    </row>
    <row r="34" spans="1:10" x14ac:dyDescent="0.25">
      <c r="A34" s="1" t="s">
        <v>16</v>
      </c>
      <c r="B34" s="1" t="s">
        <v>44</v>
      </c>
      <c r="C34" s="11"/>
      <c r="D34" s="11"/>
      <c r="E34" s="11">
        <v>10580</v>
      </c>
      <c r="F34" s="11"/>
      <c r="G34" s="11">
        <f t="shared" si="0"/>
        <v>10580</v>
      </c>
      <c r="H34" s="17">
        <f t="shared" si="1"/>
        <v>6.34</v>
      </c>
      <c r="I34" s="16">
        <f t="shared" si="2"/>
        <v>2.1000000000000001E-2</v>
      </c>
      <c r="J34" s="16">
        <f>ROUND(G34/13980-1,2)</f>
        <v>-0.24</v>
      </c>
    </row>
    <row r="35" spans="1:10" x14ac:dyDescent="0.25">
      <c r="A35" s="1" t="s">
        <v>16</v>
      </c>
      <c r="B35" s="1" t="s">
        <v>36</v>
      </c>
      <c r="C35" s="11"/>
      <c r="D35" s="11"/>
      <c r="E35" s="11"/>
      <c r="F35" s="11"/>
      <c r="G35" s="11">
        <f t="shared" si="0"/>
        <v>0</v>
      </c>
      <c r="H35" s="17">
        <f t="shared" si="1"/>
        <v>0</v>
      </c>
      <c r="I35" s="16">
        <f t="shared" si="2"/>
        <v>0</v>
      </c>
      <c r="J35" s="16">
        <f>ROUND(G35/50-1,2)</f>
        <v>-1</v>
      </c>
    </row>
    <row r="36" spans="1:10" x14ac:dyDescent="0.25">
      <c r="A36" s="1" t="s">
        <v>16</v>
      </c>
      <c r="B36" s="1" t="s">
        <v>32</v>
      </c>
      <c r="C36" s="11"/>
      <c r="D36" s="11"/>
      <c r="E36" s="11"/>
      <c r="F36" s="11"/>
      <c r="G36" s="11">
        <f t="shared" si="0"/>
        <v>0</v>
      </c>
      <c r="H36" s="17">
        <f t="shared" si="1"/>
        <v>0</v>
      </c>
      <c r="I36" s="16">
        <f t="shared" si="2"/>
        <v>0</v>
      </c>
      <c r="J36" s="16">
        <f>ROUND(G36/210-1,2)</f>
        <v>-1</v>
      </c>
    </row>
    <row r="37" spans="1:10" x14ac:dyDescent="0.25">
      <c r="A37" s="1" t="s">
        <v>16</v>
      </c>
      <c r="B37" s="1" t="s">
        <v>22</v>
      </c>
      <c r="C37" s="11"/>
      <c r="D37" s="11"/>
      <c r="E37" s="11"/>
      <c r="F37" s="11"/>
      <c r="G37" s="11">
        <f t="shared" si="0"/>
        <v>0</v>
      </c>
      <c r="H37" s="17">
        <f t="shared" si="1"/>
        <v>0</v>
      </c>
      <c r="I37" s="16">
        <f t="shared" si="2"/>
        <v>0</v>
      </c>
      <c r="J37" s="16">
        <f>ROUND(G37/1000-1,2)</f>
        <v>-1</v>
      </c>
    </row>
    <row r="38" spans="1:10" x14ac:dyDescent="0.25">
      <c r="A38" s="1" t="s">
        <v>16</v>
      </c>
      <c r="B38" s="1" t="s">
        <v>35</v>
      </c>
      <c r="C38" s="11"/>
      <c r="D38" s="11"/>
      <c r="E38" s="11"/>
      <c r="F38" s="11"/>
      <c r="G38" s="11">
        <f t="shared" si="0"/>
        <v>0</v>
      </c>
      <c r="H38" s="17">
        <f t="shared" si="1"/>
        <v>0</v>
      </c>
      <c r="I38" s="16">
        <f t="shared" si="2"/>
        <v>0</v>
      </c>
      <c r="J38" s="16"/>
    </row>
    <row r="39" spans="1:10" x14ac:dyDescent="0.25">
      <c r="A39" s="1" t="s">
        <v>45</v>
      </c>
      <c r="B39" s="1" t="s">
        <v>46</v>
      </c>
      <c r="C39" s="11">
        <v>88530</v>
      </c>
      <c r="D39" s="11"/>
      <c r="E39" s="11"/>
      <c r="F39" s="11"/>
      <c r="G39" s="11">
        <f t="shared" si="0"/>
        <v>88530</v>
      </c>
      <c r="H39" s="17">
        <f t="shared" si="1"/>
        <v>53.08</v>
      </c>
      <c r="I39" s="16">
        <f t="shared" si="2"/>
        <v>0.17299999999999999</v>
      </c>
      <c r="J39" s="16">
        <f>ROUND(G39/83430-1,2)</f>
        <v>0.06</v>
      </c>
    </row>
    <row r="40" spans="1:10" x14ac:dyDescent="0.25">
      <c r="A40" s="1" t="s">
        <v>45</v>
      </c>
      <c r="B40" s="1" t="s">
        <v>47</v>
      </c>
      <c r="C40" s="11"/>
      <c r="D40" s="11"/>
      <c r="E40" s="11">
        <v>35980</v>
      </c>
      <c r="F40" s="11"/>
      <c r="G40" s="11">
        <f t="shared" si="0"/>
        <v>35980</v>
      </c>
      <c r="H40" s="17">
        <f t="shared" si="1"/>
        <v>21.57</v>
      </c>
      <c r="I40" s="16">
        <f t="shared" si="2"/>
        <v>7.0000000000000007E-2</v>
      </c>
      <c r="J40" s="16">
        <f>ROUND(G40/33150-1,2)</f>
        <v>0.09</v>
      </c>
    </row>
    <row r="41" spans="1:10" x14ac:dyDescent="0.25">
      <c r="A41" s="26" t="s">
        <v>12</v>
      </c>
      <c r="B41" s="26"/>
      <c r="C41" s="12">
        <f t="shared" ref="C41:H41" si="3">SUM(C8:C40)</f>
        <v>382240</v>
      </c>
      <c r="D41" s="12">
        <f t="shared" si="3"/>
        <v>12</v>
      </c>
      <c r="E41" s="12">
        <f t="shared" si="3"/>
        <v>129961</v>
      </c>
      <c r="F41" s="12">
        <f t="shared" si="3"/>
        <v>970</v>
      </c>
      <c r="G41" s="12">
        <f t="shared" si="3"/>
        <v>513183</v>
      </c>
      <c r="H41" s="15">
        <f t="shared" si="3"/>
        <v>307.67</v>
      </c>
      <c r="I41" s="18"/>
      <c r="J41" s="18"/>
    </row>
    <row r="42" spans="1:10" x14ac:dyDescent="0.25">
      <c r="A42" s="26" t="s">
        <v>14</v>
      </c>
      <c r="B42" s="26"/>
      <c r="C42" s="13">
        <f>ROUND(C41/G41,2)</f>
        <v>0.74</v>
      </c>
      <c r="D42" s="13">
        <f>ROUND(D41/G41,2)</f>
        <v>0</v>
      </c>
      <c r="E42" s="13">
        <f>ROUND(E41/G41,2)</f>
        <v>0.25</v>
      </c>
      <c r="F42" s="13">
        <f>ROUND(F41/G41,2)</f>
        <v>0</v>
      </c>
      <c r="G42" s="14"/>
      <c r="H42" s="14"/>
      <c r="I42" s="18"/>
      <c r="J42" s="18"/>
    </row>
    <row r="43" spans="1:10" x14ac:dyDescent="0.25">
      <c r="A43" s="2" t="s">
        <v>53</v>
      </c>
      <c r="B43" s="2"/>
      <c r="C43" s="14"/>
      <c r="D43" s="14"/>
      <c r="E43" s="14"/>
      <c r="F43" s="14"/>
      <c r="G43" s="14"/>
      <c r="H43" s="14"/>
      <c r="I43" s="18"/>
      <c r="J43" s="18"/>
    </row>
    <row r="44" spans="1:10" x14ac:dyDescent="0.25">
      <c r="C44" s="9"/>
      <c r="D44" s="9"/>
      <c r="E44" s="9"/>
      <c r="F44" s="9"/>
      <c r="G44" s="9"/>
      <c r="H44" s="9"/>
      <c r="I44" s="10"/>
      <c r="J44" s="10"/>
    </row>
    <row r="45" spans="1:10" x14ac:dyDescent="0.25">
      <c r="C45" s="9"/>
      <c r="D45" s="9"/>
      <c r="E45" s="9"/>
      <c r="F45" s="9"/>
      <c r="G45" s="9"/>
      <c r="H45" s="9"/>
      <c r="I45" s="10"/>
      <c r="J45" s="10"/>
    </row>
    <row r="46" spans="1:10" x14ac:dyDescent="0.25">
      <c r="C46" s="9"/>
      <c r="D46" s="9"/>
      <c r="E46" s="9"/>
      <c r="F46" s="9"/>
      <c r="G46" s="9"/>
      <c r="H46" s="9"/>
      <c r="I46" s="10"/>
      <c r="J46" s="10"/>
    </row>
    <row r="47" spans="1:10" x14ac:dyDescent="0.25">
      <c r="A47" s="26" t="s">
        <v>54</v>
      </c>
      <c r="B47" s="26"/>
      <c r="C47" s="12" t="s">
        <v>8</v>
      </c>
      <c r="D47" s="12" t="s">
        <v>9</v>
      </c>
      <c r="E47" s="12" t="s">
        <v>10</v>
      </c>
      <c r="F47" s="12" t="s">
        <v>11</v>
      </c>
      <c r="G47" s="12" t="s">
        <v>12</v>
      </c>
      <c r="H47" s="15" t="s">
        <v>13</v>
      </c>
      <c r="I47" s="18"/>
      <c r="J47" s="18"/>
    </row>
    <row r="48" spans="1:10" x14ac:dyDescent="0.25">
      <c r="A48" s="21" t="s">
        <v>55</v>
      </c>
      <c r="B48" s="21"/>
      <c r="C48" s="11">
        <v>293710</v>
      </c>
      <c r="D48" s="11">
        <v>12</v>
      </c>
      <c r="E48" s="11">
        <v>93981</v>
      </c>
      <c r="F48" s="11">
        <v>890</v>
      </c>
      <c r="G48" s="11">
        <f>SUM(C48:F48)</f>
        <v>388593</v>
      </c>
      <c r="H48" s="17">
        <f>ROUND(G48/1668,2)</f>
        <v>232.97</v>
      </c>
      <c r="I48" s="10"/>
      <c r="J48" s="10"/>
    </row>
    <row r="49" spans="1:10" x14ac:dyDescent="0.25">
      <c r="A49" s="21" t="s">
        <v>56</v>
      </c>
      <c r="B49" s="21"/>
      <c r="C49" s="11">
        <v>88530</v>
      </c>
      <c r="D49" s="11">
        <v>0</v>
      </c>
      <c r="E49" s="11">
        <v>35980</v>
      </c>
      <c r="F49" s="11">
        <v>0</v>
      </c>
      <c r="G49" s="11">
        <f>SUM(C49:F49)</f>
        <v>124510</v>
      </c>
      <c r="H49" s="17">
        <f>ROUND(G49/1668,2)</f>
        <v>74.650000000000006</v>
      </c>
      <c r="I49" s="10"/>
      <c r="J49" s="10"/>
    </row>
    <row r="50" spans="1:10" x14ac:dyDescent="0.25">
      <c r="A50" s="21" t="s">
        <v>57</v>
      </c>
      <c r="B50" s="21"/>
      <c r="C50" s="11">
        <v>0</v>
      </c>
      <c r="D50" s="11">
        <v>0</v>
      </c>
      <c r="E50" s="11">
        <v>0</v>
      </c>
      <c r="F50" s="11">
        <v>80</v>
      </c>
      <c r="G50" s="11">
        <f>SUM(C50:F50)</f>
        <v>80</v>
      </c>
      <c r="H50" s="17">
        <f>ROUND(G50/1668,2)</f>
        <v>0.05</v>
      </c>
      <c r="I50" s="10"/>
      <c r="J50" s="10"/>
    </row>
    <row r="51" spans="1:10" x14ac:dyDescent="0.25">
      <c r="C51" s="9"/>
      <c r="D51" s="9"/>
      <c r="E51" s="9"/>
      <c r="F51" s="9"/>
      <c r="G51" s="9"/>
      <c r="H51" s="9"/>
      <c r="I51" s="10"/>
      <c r="J51" s="10"/>
    </row>
    <row r="52" spans="1:10" x14ac:dyDescent="0.25">
      <c r="C52" s="9"/>
      <c r="D52" s="9"/>
      <c r="E52" s="9"/>
      <c r="F52" s="9"/>
      <c r="G52" s="9"/>
      <c r="H52" s="9"/>
      <c r="I52" s="10"/>
      <c r="J52" s="10"/>
    </row>
    <row r="53" spans="1:10" x14ac:dyDescent="0.25">
      <c r="C53" s="9"/>
      <c r="D53" s="9"/>
      <c r="E53" s="9"/>
      <c r="F53" s="9"/>
      <c r="G53" s="9"/>
      <c r="H53" s="9"/>
      <c r="I53" s="10"/>
      <c r="J53" s="10"/>
    </row>
    <row r="54" spans="1:10" x14ac:dyDescent="0.25">
      <c r="C54" s="9"/>
      <c r="D54" s="9"/>
      <c r="E54" s="9"/>
      <c r="F54" s="9"/>
      <c r="G54" s="9"/>
      <c r="H54" s="9"/>
      <c r="I54" s="10"/>
      <c r="J54" s="10"/>
    </row>
    <row r="55" spans="1:10" x14ac:dyDescent="0.25">
      <c r="A55" s="26" t="s">
        <v>58</v>
      </c>
      <c r="B55" s="26"/>
      <c r="C55" s="15" t="s">
        <v>2</v>
      </c>
      <c r="D55" s="15">
        <v>2024</v>
      </c>
      <c r="E55" s="15" t="s">
        <v>60</v>
      </c>
      <c r="F55" s="14"/>
      <c r="G55" s="15" t="s">
        <v>61</v>
      </c>
      <c r="H55" s="15" t="s">
        <v>2</v>
      </c>
      <c r="I55" s="13" t="s">
        <v>62</v>
      </c>
      <c r="J55" s="13" t="s">
        <v>60</v>
      </c>
    </row>
    <row r="56" spans="1:10" x14ac:dyDescent="0.25">
      <c r="A56" s="21" t="s">
        <v>59</v>
      </c>
      <c r="B56" s="21"/>
      <c r="C56" s="16">
        <f>ROUND(0.8214, 4)</f>
        <v>0.82140000000000002</v>
      </c>
      <c r="D56" s="16">
        <f>ROUND(0.8268, 4)</f>
        <v>0.82679999999999998</v>
      </c>
      <c r="E56" s="16">
        <f>ROUND(0.7856, 4)</f>
        <v>0.78559999999999997</v>
      </c>
      <c r="F56" s="9"/>
      <c r="G56" s="15" t="s">
        <v>63</v>
      </c>
      <c r="H56" s="27" t="s">
        <v>64</v>
      </c>
      <c r="I56" s="24" t="s">
        <v>65</v>
      </c>
      <c r="J56" s="24" t="s">
        <v>66</v>
      </c>
    </row>
    <row r="57" spans="1:10" x14ac:dyDescent="0.25">
      <c r="A57" s="21" t="s">
        <v>67</v>
      </c>
      <c r="B57" s="21"/>
      <c r="C57" s="16">
        <f>ROUND(0.8214, 4)</f>
        <v>0.82140000000000002</v>
      </c>
      <c r="D57" s="16">
        <f>ROUND(0.8131, 4)</f>
        <v>0.81310000000000004</v>
      </c>
      <c r="E57" s="16">
        <f>ROUND(0.7702, 4)</f>
        <v>0.7702</v>
      </c>
      <c r="F57" s="9"/>
      <c r="G57" s="15" t="s">
        <v>68</v>
      </c>
      <c r="H57" s="28"/>
      <c r="I57" s="25"/>
      <c r="J57" s="25"/>
    </row>
    <row r="58" spans="1:10" x14ac:dyDescent="0.25">
      <c r="C58" s="9"/>
      <c r="D58" s="9"/>
      <c r="E58" s="9"/>
      <c r="F58" s="9"/>
      <c r="G58" s="9"/>
      <c r="H58" s="9"/>
      <c r="I58" s="10"/>
      <c r="J58" s="10"/>
    </row>
    <row r="59" spans="1:10" x14ac:dyDescent="0.25">
      <c r="C59" s="9"/>
      <c r="D59" s="9"/>
      <c r="E59" s="9"/>
      <c r="F59" s="9"/>
      <c r="G59" s="9"/>
      <c r="H59" s="9"/>
      <c r="I59" s="10"/>
      <c r="J59" s="10"/>
    </row>
    <row r="60" spans="1:10" x14ac:dyDescent="0.25">
      <c r="C60" s="9"/>
      <c r="D60" s="9"/>
      <c r="E60" s="9"/>
      <c r="F60" s="9"/>
      <c r="G60" s="9"/>
      <c r="H60" s="9"/>
      <c r="I60" s="10"/>
      <c r="J60" s="10"/>
    </row>
    <row r="61" spans="1:10" x14ac:dyDescent="0.25">
      <c r="A61" s="26" t="s">
        <v>69</v>
      </c>
      <c r="B61" s="26"/>
      <c r="C61" s="15" t="s">
        <v>2</v>
      </c>
      <c r="D61" s="15" t="s">
        <v>308</v>
      </c>
      <c r="E61" s="15" t="s">
        <v>71</v>
      </c>
      <c r="F61" s="15" t="s">
        <v>72</v>
      </c>
      <c r="G61" s="15" t="s">
        <v>73</v>
      </c>
      <c r="H61" s="14"/>
      <c r="I61" s="18"/>
      <c r="J61" s="18"/>
    </row>
    <row r="62" spans="1:10" x14ac:dyDescent="0.25">
      <c r="A62" s="21" t="s">
        <v>74</v>
      </c>
      <c r="B62" s="21"/>
      <c r="C62" s="17">
        <v>53.08</v>
      </c>
      <c r="D62" s="17">
        <v>45.39</v>
      </c>
      <c r="E62" s="17">
        <v>96.15</v>
      </c>
      <c r="F62" s="17">
        <v>57.94</v>
      </c>
      <c r="G62" s="17">
        <f>12/12*C62</f>
        <v>53.08</v>
      </c>
      <c r="H62" s="9"/>
      <c r="I62" s="10"/>
      <c r="J62" s="10"/>
    </row>
    <row r="63" spans="1:10" x14ac:dyDescent="0.25">
      <c r="A63" s="21" t="s">
        <v>75</v>
      </c>
      <c r="B63" s="21"/>
      <c r="C63" s="17">
        <v>60.89</v>
      </c>
      <c r="D63" s="17">
        <v>63.21</v>
      </c>
      <c r="E63" s="17">
        <v>62.28</v>
      </c>
      <c r="F63" s="17">
        <v>66.599999999999994</v>
      </c>
      <c r="G63" s="17">
        <f>12/12*C63</f>
        <v>60.89</v>
      </c>
      <c r="H63" s="9"/>
      <c r="I63" s="10"/>
      <c r="J63" s="10"/>
    </row>
    <row r="64" spans="1:10" x14ac:dyDescent="0.25">
      <c r="A64" s="21" t="s">
        <v>76</v>
      </c>
      <c r="B64" s="21"/>
      <c r="C64" s="17">
        <v>232.97</v>
      </c>
      <c r="D64" s="17">
        <v>231.76</v>
      </c>
      <c r="E64" s="17">
        <v>300.02</v>
      </c>
      <c r="F64" s="17">
        <v>295.08</v>
      </c>
      <c r="G64" s="17">
        <f>12/12*C64</f>
        <v>232.97</v>
      </c>
      <c r="H64" s="9"/>
      <c r="I64" s="10"/>
      <c r="J64" s="10"/>
    </row>
    <row r="65" spans="1:10" x14ac:dyDescent="0.25">
      <c r="A65" s="21" t="s">
        <v>77</v>
      </c>
      <c r="B65" s="21"/>
      <c r="C65" s="17">
        <v>74.650000000000006</v>
      </c>
      <c r="D65" s="17">
        <v>65.3</v>
      </c>
      <c r="E65" s="17">
        <v>120.96</v>
      </c>
      <c r="F65" s="17">
        <v>83.12</v>
      </c>
      <c r="G65" s="17">
        <f>12/12*C65</f>
        <v>74.650000000000006</v>
      </c>
      <c r="H65" s="9"/>
      <c r="I65" s="10"/>
      <c r="J65" s="10"/>
    </row>
    <row r="66" spans="1:10" x14ac:dyDescent="0.25">
      <c r="C66" s="9"/>
      <c r="D66" s="9"/>
      <c r="E66" s="9"/>
      <c r="F66" s="9"/>
      <c r="G66" s="9"/>
      <c r="H66" s="9"/>
      <c r="I66" s="10"/>
      <c r="J66" s="10"/>
    </row>
    <row r="67" spans="1:10" x14ac:dyDescent="0.25">
      <c r="C67" s="9"/>
      <c r="D67" s="9"/>
      <c r="E67" s="9"/>
      <c r="F67" s="9"/>
      <c r="G67" s="9"/>
      <c r="H67" s="9"/>
      <c r="I67" s="10"/>
      <c r="J67" s="10"/>
    </row>
    <row r="68" spans="1:10" x14ac:dyDescent="0.25">
      <c r="A68" s="22" t="s">
        <v>61</v>
      </c>
      <c r="B68" s="23"/>
      <c r="C68" s="9"/>
      <c r="D68" s="9"/>
      <c r="E68" s="9"/>
      <c r="F68" s="9"/>
      <c r="G68" s="9"/>
      <c r="H68" s="9"/>
      <c r="I68" s="10"/>
      <c r="J68" s="10"/>
    </row>
    <row r="69" spans="1:10" x14ac:dyDescent="0.25">
      <c r="A69" s="3" t="s">
        <v>78</v>
      </c>
      <c r="B69" s="1" t="s">
        <v>309</v>
      </c>
      <c r="C69" s="9"/>
      <c r="D69" s="9"/>
      <c r="E69" s="9"/>
      <c r="F69" s="9"/>
      <c r="G69" s="9"/>
      <c r="H69" s="9"/>
      <c r="I69" s="10"/>
      <c r="J69" s="10"/>
    </row>
    <row r="70" spans="1:10" x14ac:dyDescent="0.25">
      <c r="A70" s="3" t="s">
        <v>71</v>
      </c>
      <c r="B70" s="1" t="s">
        <v>80</v>
      </c>
      <c r="C70" s="9"/>
      <c r="D70" s="9"/>
      <c r="E70" s="9"/>
      <c r="F70" s="9"/>
      <c r="G70" s="9"/>
      <c r="H70" s="9"/>
      <c r="I70" s="10"/>
      <c r="J70" s="10"/>
    </row>
    <row r="71" spans="1:10" x14ac:dyDescent="0.25">
      <c r="A71" s="3" t="s">
        <v>72</v>
      </c>
      <c r="B71" s="1" t="s">
        <v>81</v>
      </c>
      <c r="C71" s="9"/>
      <c r="D71" s="9"/>
      <c r="E71" s="9"/>
      <c r="F71" s="9"/>
      <c r="G71" s="9"/>
      <c r="H71" s="9"/>
      <c r="I71" s="10"/>
      <c r="J71" s="10"/>
    </row>
    <row r="72" spans="1:10" x14ac:dyDescent="0.25">
      <c r="A72" s="3" t="s">
        <v>73</v>
      </c>
      <c r="B72" s="1" t="s">
        <v>82</v>
      </c>
      <c r="C72" s="9"/>
      <c r="D72" s="9"/>
      <c r="E72" s="9"/>
      <c r="F72" s="9"/>
      <c r="G72" s="9"/>
      <c r="H72" s="9"/>
      <c r="I72" s="10"/>
      <c r="J72" s="10"/>
    </row>
    <row r="73" spans="1:10" x14ac:dyDescent="0.25">
      <c r="C73" s="9"/>
      <c r="D73" s="9"/>
      <c r="E73" s="9"/>
      <c r="F73" s="9"/>
      <c r="G73" s="9"/>
      <c r="H73" s="9"/>
      <c r="I73" s="10"/>
      <c r="J73" s="10"/>
    </row>
    <row r="74" spans="1:10" x14ac:dyDescent="0.25">
      <c r="C74" s="9"/>
      <c r="D74" s="9"/>
      <c r="E74" s="9"/>
      <c r="F74" s="9"/>
      <c r="G74" s="9"/>
      <c r="H74" s="9"/>
      <c r="I74" s="10"/>
      <c r="J74" s="10"/>
    </row>
    <row r="75" spans="1:10" x14ac:dyDescent="0.25">
      <c r="C75" s="9"/>
      <c r="D75" s="9"/>
      <c r="E75" s="9"/>
      <c r="F75" s="9"/>
      <c r="G75" s="9"/>
      <c r="H75" s="9"/>
      <c r="I75" s="10"/>
      <c r="J75" s="10"/>
    </row>
  </sheetData>
  <mergeCells count="19">
    <mergeCell ref="C7:G7"/>
    <mergeCell ref="A41:B41"/>
    <mergeCell ref="A42:B42"/>
    <mergeCell ref="A47:B47"/>
    <mergeCell ref="A48:B48"/>
    <mergeCell ref="J56:J57"/>
    <mergeCell ref="A57:B57"/>
    <mergeCell ref="A61:B61"/>
    <mergeCell ref="A62:B62"/>
    <mergeCell ref="A49:B49"/>
    <mergeCell ref="A50:B50"/>
    <mergeCell ref="A55:B55"/>
    <mergeCell ref="A56:B56"/>
    <mergeCell ref="H56:H57"/>
    <mergeCell ref="A63:B63"/>
    <mergeCell ref="A64:B64"/>
    <mergeCell ref="A65:B65"/>
    <mergeCell ref="A68:B68"/>
    <mergeCell ref="I56:I57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2:J75"/>
  <sheetViews>
    <sheetView workbookViewId="0">
      <selection activeCell="H5" sqref="H5"/>
    </sheetView>
  </sheetViews>
  <sheetFormatPr defaultRowHeight="15" x14ac:dyDescent="0.25"/>
  <cols>
    <col min="1" max="1" width="28.42578125" bestFit="1" customWidth="1"/>
    <col min="2" max="2" width="59.5703125" bestFit="1" customWidth="1"/>
    <col min="3" max="3" width="12.7109375" bestFit="1" customWidth="1"/>
    <col min="4" max="4" width="22.85546875" bestFit="1" customWidth="1"/>
    <col min="5" max="5" width="13.85546875" bestFit="1" customWidth="1"/>
    <col min="6" max="6" width="8.5703125" bestFit="1" customWidth="1"/>
    <col min="7" max="7" width="47.7109375" bestFit="1" customWidth="1"/>
    <col min="8" max="9" width="16.7109375" bestFit="1" customWidth="1"/>
    <col min="10" max="10" width="24.42578125" bestFit="1" customWidth="1"/>
  </cols>
  <sheetData>
    <row r="2" spans="1:10" ht="18.75" x14ac:dyDescent="0.3">
      <c r="A2" s="3" t="s">
        <v>0</v>
      </c>
      <c r="B2" s="4" t="s">
        <v>310</v>
      </c>
    </row>
    <row r="3" spans="1:10" x14ac:dyDescent="0.25">
      <c r="A3" s="3" t="s">
        <v>2</v>
      </c>
      <c r="B3" s="1" t="s">
        <v>3</v>
      </c>
    </row>
    <row r="4" spans="1:10" x14ac:dyDescent="0.25">
      <c r="A4" s="3" t="s">
        <v>4</v>
      </c>
      <c r="B4" s="20">
        <v>1311</v>
      </c>
    </row>
    <row r="7" spans="1:10" x14ac:dyDescent="0.25">
      <c r="C7" s="22" t="s">
        <v>5</v>
      </c>
      <c r="D7" s="21"/>
      <c r="E7" s="21"/>
      <c r="F7" s="21"/>
      <c r="G7" s="21"/>
    </row>
    <row r="8" spans="1:10" x14ac:dyDescent="0.25">
      <c r="A8" s="3" t="s">
        <v>6</v>
      </c>
      <c r="B8" s="3" t="s">
        <v>7</v>
      </c>
      <c r="C8" s="15" t="s">
        <v>8</v>
      </c>
      <c r="D8" s="15" t="s">
        <v>9</v>
      </c>
      <c r="E8" s="15" t="s">
        <v>10</v>
      </c>
      <c r="F8" s="15" t="s">
        <v>11</v>
      </c>
      <c r="G8" s="15" t="s">
        <v>12</v>
      </c>
      <c r="H8" s="15" t="s">
        <v>13</v>
      </c>
      <c r="I8" s="15" t="s">
        <v>14</v>
      </c>
      <c r="J8" s="15" t="s">
        <v>15</v>
      </c>
    </row>
    <row r="9" spans="1:10" x14ac:dyDescent="0.25">
      <c r="A9" s="1" t="s">
        <v>49</v>
      </c>
      <c r="B9" s="1" t="s">
        <v>50</v>
      </c>
      <c r="C9" s="11"/>
      <c r="D9" s="11"/>
      <c r="E9" s="11"/>
      <c r="F9" s="11">
        <v>23</v>
      </c>
      <c r="G9" s="11">
        <f t="shared" ref="G9:G43" si="0">SUM(C9:F9)</f>
        <v>23</v>
      </c>
      <c r="H9" s="17">
        <f t="shared" ref="H9:H43" si="1">ROUND(G9/1311,2)</f>
        <v>0.02</v>
      </c>
      <c r="I9" s="16">
        <f t="shared" ref="I9:I43" si="2">ROUND(G9/$G$44,3)</f>
        <v>0</v>
      </c>
      <c r="J9" s="16"/>
    </row>
    <row r="10" spans="1:10" x14ac:dyDescent="0.25">
      <c r="A10" s="1" t="s">
        <v>49</v>
      </c>
      <c r="B10" s="1" t="s">
        <v>51</v>
      </c>
      <c r="C10" s="11"/>
      <c r="D10" s="11"/>
      <c r="E10" s="11"/>
      <c r="F10" s="11"/>
      <c r="G10" s="11">
        <f t="shared" si="0"/>
        <v>0</v>
      </c>
      <c r="H10" s="17">
        <f t="shared" si="1"/>
        <v>0</v>
      </c>
      <c r="I10" s="16">
        <f t="shared" si="2"/>
        <v>0</v>
      </c>
      <c r="J10" s="16"/>
    </row>
    <row r="11" spans="1:10" x14ac:dyDescent="0.25">
      <c r="A11" s="1" t="s">
        <v>49</v>
      </c>
      <c r="B11" s="1" t="s">
        <v>52</v>
      </c>
      <c r="C11" s="11"/>
      <c r="D11" s="11"/>
      <c r="E11" s="11"/>
      <c r="F11" s="11"/>
      <c r="G11" s="11">
        <f t="shared" si="0"/>
        <v>0</v>
      </c>
      <c r="H11" s="17">
        <f t="shared" si="1"/>
        <v>0</v>
      </c>
      <c r="I11" s="16">
        <f t="shared" si="2"/>
        <v>0</v>
      </c>
      <c r="J11" s="16"/>
    </row>
    <row r="12" spans="1:10" x14ac:dyDescent="0.25">
      <c r="A12" s="1" t="s">
        <v>16</v>
      </c>
      <c r="B12" s="1" t="s">
        <v>19</v>
      </c>
      <c r="C12" s="11"/>
      <c r="D12" s="11">
        <v>86420</v>
      </c>
      <c r="E12" s="11"/>
      <c r="F12" s="11"/>
      <c r="G12" s="11">
        <f t="shared" si="0"/>
        <v>86420</v>
      </c>
      <c r="H12" s="17">
        <f t="shared" si="1"/>
        <v>65.92</v>
      </c>
      <c r="I12" s="16">
        <f t="shared" si="2"/>
        <v>7.0999999999999994E-2</v>
      </c>
      <c r="J12" s="16">
        <f>ROUND(G12/86160-1,2)</f>
        <v>0</v>
      </c>
    </row>
    <row r="13" spans="1:10" x14ac:dyDescent="0.25">
      <c r="A13" s="1" t="s">
        <v>16</v>
      </c>
      <c r="B13" s="1" t="s">
        <v>20</v>
      </c>
      <c r="C13" s="11"/>
      <c r="D13" s="11">
        <v>113100</v>
      </c>
      <c r="E13" s="11">
        <v>21620</v>
      </c>
      <c r="F13" s="11"/>
      <c r="G13" s="11">
        <f t="shared" si="0"/>
        <v>134720</v>
      </c>
      <c r="H13" s="17">
        <f t="shared" si="1"/>
        <v>102.76</v>
      </c>
      <c r="I13" s="16">
        <f t="shared" si="2"/>
        <v>0.111</v>
      </c>
      <c r="J13" s="16">
        <f>ROUND(G13/144800-1,2)</f>
        <v>-7.0000000000000007E-2</v>
      </c>
    </row>
    <row r="14" spans="1:10" x14ac:dyDescent="0.25">
      <c r="A14" s="1" t="s">
        <v>16</v>
      </c>
      <c r="B14" s="1" t="s">
        <v>21</v>
      </c>
      <c r="C14" s="11"/>
      <c r="D14" s="11"/>
      <c r="E14" s="11">
        <v>257</v>
      </c>
      <c r="F14" s="11"/>
      <c r="G14" s="11">
        <f t="shared" si="0"/>
        <v>257</v>
      </c>
      <c r="H14" s="17">
        <f t="shared" si="1"/>
        <v>0.2</v>
      </c>
      <c r="I14" s="16">
        <f t="shared" si="2"/>
        <v>0</v>
      </c>
      <c r="J14" s="16">
        <f>ROUND(G14/50-1,2)</f>
        <v>4.1399999999999997</v>
      </c>
    </row>
    <row r="15" spans="1:10" x14ac:dyDescent="0.25">
      <c r="A15" s="1" t="s">
        <v>16</v>
      </c>
      <c r="B15" s="1" t="s">
        <v>22</v>
      </c>
      <c r="C15" s="11"/>
      <c r="D15" s="11"/>
      <c r="E15" s="11">
        <v>2580</v>
      </c>
      <c r="F15" s="11"/>
      <c r="G15" s="11">
        <f t="shared" si="0"/>
        <v>2580</v>
      </c>
      <c r="H15" s="17">
        <f t="shared" si="1"/>
        <v>1.97</v>
      </c>
      <c r="I15" s="16">
        <f t="shared" si="2"/>
        <v>2E-3</v>
      </c>
      <c r="J15" s="16">
        <f>ROUND(G15/1420-1,2)</f>
        <v>0.82</v>
      </c>
    </row>
    <row r="16" spans="1:10" x14ac:dyDescent="0.25">
      <c r="A16" s="1" t="s">
        <v>16</v>
      </c>
      <c r="B16" s="1" t="s">
        <v>23</v>
      </c>
      <c r="C16" s="11"/>
      <c r="D16" s="11"/>
      <c r="E16" s="11">
        <v>64680</v>
      </c>
      <c r="F16" s="11"/>
      <c r="G16" s="11">
        <f t="shared" si="0"/>
        <v>64680</v>
      </c>
      <c r="H16" s="17">
        <f t="shared" si="1"/>
        <v>49.34</v>
      </c>
      <c r="I16" s="16">
        <f t="shared" si="2"/>
        <v>5.2999999999999999E-2</v>
      </c>
      <c r="J16" s="16">
        <f>ROUND(G16/44120-1,2)</f>
        <v>0.47</v>
      </c>
    </row>
    <row r="17" spans="1:10" x14ac:dyDescent="0.25">
      <c r="A17" s="1" t="s">
        <v>16</v>
      </c>
      <c r="B17" s="1" t="s">
        <v>24</v>
      </c>
      <c r="C17" s="11"/>
      <c r="D17" s="11">
        <v>112010</v>
      </c>
      <c r="E17" s="11">
        <v>35220</v>
      </c>
      <c r="F17" s="11"/>
      <c r="G17" s="11">
        <f t="shared" si="0"/>
        <v>147230</v>
      </c>
      <c r="H17" s="17">
        <f t="shared" si="1"/>
        <v>112.3</v>
      </c>
      <c r="I17" s="16">
        <f t="shared" si="2"/>
        <v>0.122</v>
      </c>
      <c r="J17" s="16">
        <f>ROUND(G17/149870-1,2)</f>
        <v>-0.02</v>
      </c>
    </row>
    <row r="18" spans="1:10" x14ac:dyDescent="0.25">
      <c r="A18" s="1" t="s">
        <v>16</v>
      </c>
      <c r="B18" s="1" t="s">
        <v>25</v>
      </c>
      <c r="C18" s="11"/>
      <c r="D18" s="11"/>
      <c r="E18" s="11">
        <v>3400</v>
      </c>
      <c r="F18" s="11"/>
      <c r="G18" s="11">
        <f t="shared" si="0"/>
        <v>3400</v>
      </c>
      <c r="H18" s="17">
        <f t="shared" si="1"/>
        <v>2.59</v>
      </c>
      <c r="I18" s="16">
        <f t="shared" si="2"/>
        <v>3.0000000000000001E-3</v>
      </c>
      <c r="J18" s="16">
        <f>ROUND(G18/3600-1,2)</f>
        <v>-0.06</v>
      </c>
    </row>
    <row r="19" spans="1:10" x14ac:dyDescent="0.25">
      <c r="A19" s="1" t="s">
        <v>16</v>
      </c>
      <c r="B19" s="1" t="s">
        <v>26</v>
      </c>
      <c r="C19" s="11"/>
      <c r="D19" s="11">
        <v>128140</v>
      </c>
      <c r="E19" s="11"/>
      <c r="F19" s="11"/>
      <c r="G19" s="11">
        <f t="shared" si="0"/>
        <v>128140</v>
      </c>
      <c r="H19" s="17">
        <f t="shared" si="1"/>
        <v>97.74</v>
      </c>
      <c r="I19" s="16">
        <f t="shared" si="2"/>
        <v>0.106</v>
      </c>
      <c r="J19" s="16">
        <f>ROUND(G19/123540-1,2)</f>
        <v>0.04</v>
      </c>
    </row>
    <row r="20" spans="1:10" x14ac:dyDescent="0.25">
      <c r="A20" s="1" t="s">
        <v>16</v>
      </c>
      <c r="B20" s="1" t="s">
        <v>27</v>
      </c>
      <c r="C20" s="11"/>
      <c r="D20" s="11"/>
      <c r="E20" s="11">
        <v>74</v>
      </c>
      <c r="F20" s="11"/>
      <c r="G20" s="11">
        <f t="shared" si="0"/>
        <v>74</v>
      </c>
      <c r="H20" s="17">
        <f t="shared" si="1"/>
        <v>0.06</v>
      </c>
      <c r="I20" s="16">
        <f t="shared" si="2"/>
        <v>0</v>
      </c>
      <c r="J20" s="16">
        <f>ROUND(G20/20-1,2)</f>
        <v>2.7</v>
      </c>
    </row>
    <row r="21" spans="1:10" x14ac:dyDescent="0.25">
      <c r="A21" s="1" t="s">
        <v>16</v>
      </c>
      <c r="B21" s="1" t="s">
        <v>28</v>
      </c>
      <c r="C21" s="11"/>
      <c r="D21" s="11"/>
      <c r="E21" s="11">
        <v>12</v>
      </c>
      <c r="F21" s="11"/>
      <c r="G21" s="11">
        <f t="shared" si="0"/>
        <v>12</v>
      </c>
      <c r="H21" s="17">
        <f t="shared" si="1"/>
        <v>0.01</v>
      </c>
      <c r="I21" s="16">
        <f t="shared" si="2"/>
        <v>0</v>
      </c>
      <c r="J21" s="16">
        <f>ROUND(G21/10-1,2)</f>
        <v>0.2</v>
      </c>
    </row>
    <row r="22" spans="1:10" x14ac:dyDescent="0.25">
      <c r="A22" s="1" t="s">
        <v>16</v>
      </c>
      <c r="B22" s="1" t="s">
        <v>29</v>
      </c>
      <c r="C22" s="11"/>
      <c r="D22" s="11"/>
      <c r="E22" s="11">
        <v>181</v>
      </c>
      <c r="F22" s="11"/>
      <c r="G22" s="11">
        <f t="shared" si="0"/>
        <v>181</v>
      </c>
      <c r="H22" s="17">
        <f t="shared" si="1"/>
        <v>0.14000000000000001</v>
      </c>
      <c r="I22" s="16">
        <f t="shared" si="2"/>
        <v>0</v>
      </c>
      <c r="J22" s="16"/>
    </row>
    <row r="23" spans="1:10" x14ac:dyDescent="0.25">
      <c r="A23" s="1" t="s">
        <v>16</v>
      </c>
      <c r="B23" s="1" t="s">
        <v>30</v>
      </c>
      <c r="C23" s="11"/>
      <c r="D23" s="11"/>
      <c r="E23" s="11">
        <v>5010</v>
      </c>
      <c r="F23" s="11"/>
      <c r="G23" s="11">
        <f t="shared" si="0"/>
        <v>5010</v>
      </c>
      <c r="H23" s="17">
        <f t="shared" si="1"/>
        <v>3.82</v>
      </c>
      <c r="I23" s="16">
        <f t="shared" si="2"/>
        <v>4.0000000000000001E-3</v>
      </c>
      <c r="J23" s="16">
        <f>ROUND(G23/4390-1,2)</f>
        <v>0.14000000000000001</v>
      </c>
    </row>
    <row r="24" spans="1:10" x14ac:dyDescent="0.25">
      <c r="A24" s="1" t="s">
        <v>16</v>
      </c>
      <c r="B24" s="1" t="s">
        <v>33</v>
      </c>
      <c r="C24" s="11"/>
      <c r="D24" s="11"/>
      <c r="E24" s="11">
        <v>890</v>
      </c>
      <c r="F24" s="11"/>
      <c r="G24" s="11">
        <f t="shared" si="0"/>
        <v>890</v>
      </c>
      <c r="H24" s="17">
        <f t="shared" si="1"/>
        <v>0.68</v>
      </c>
      <c r="I24" s="16">
        <f t="shared" si="2"/>
        <v>1E-3</v>
      </c>
      <c r="J24" s="16">
        <f>ROUND(G24/1060-1,2)</f>
        <v>-0.16</v>
      </c>
    </row>
    <row r="25" spans="1:10" x14ac:dyDescent="0.25">
      <c r="A25" s="1" t="s">
        <v>16</v>
      </c>
      <c r="B25" s="1" t="s">
        <v>34</v>
      </c>
      <c r="C25" s="11"/>
      <c r="D25" s="11"/>
      <c r="E25" s="11">
        <v>64</v>
      </c>
      <c r="F25" s="11"/>
      <c r="G25" s="11">
        <f t="shared" si="0"/>
        <v>64</v>
      </c>
      <c r="H25" s="17">
        <f t="shared" si="1"/>
        <v>0.05</v>
      </c>
      <c r="I25" s="16">
        <f t="shared" si="2"/>
        <v>0</v>
      </c>
      <c r="J25" s="16">
        <f>ROUND(G25/75-1,2)</f>
        <v>-0.15</v>
      </c>
    </row>
    <row r="26" spans="1:10" x14ac:dyDescent="0.25">
      <c r="A26" s="1" t="s">
        <v>16</v>
      </c>
      <c r="B26" s="1" t="s">
        <v>37</v>
      </c>
      <c r="C26" s="11"/>
      <c r="D26" s="11"/>
      <c r="E26" s="11">
        <v>550</v>
      </c>
      <c r="F26" s="11"/>
      <c r="G26" s="11">
        <f t="shared" si="0"/>
        <v>550</v>
      </c>
      <c r="H26" s="17">
        <f t="shared" si="1"/>
        <v>0.42</v>
      </c>
      <c r="I26" s="16">
        <f t="shared" si="2"/>
        <v>0</v>
      </c>
      <c r="J26" s="16">
        <f>ROUND(G26/2310-1,2)</f>
        <v>-0.76</v>
      </c>
    </row>
    <row r="27" spans="1:10" x14ac:dyDescent="0.25">
      <c r="A27" s="1" t="s">
        <v>16</v>
      </c>
      <c r="B27" s="1" t="s">
        <v>38</v>
      </c>
      <c r="C27" s="11"/>
      <c r="D27" s="11"/>
      <c r="E27" s="11">
        <v>6520</v>
      </c>
      <c r="F27" s="11"/>
      <c r="G27" s="11">
        <f t="shared" si="0"/>
        <v>6520</v>
      </c>
      <c r="H27" s="17">
        <f t="shared" si="1"/>
        <v>4.97</v>
      </c>
      <c r="I27" s="16">
        <f t="shared" si="2"/>
        <v>5.0000000000000001E-3</v>
      </c>
      <c r="J27" s="16">
        <f>ROUND(G27/7870-1,2)</f>
        <v>-0.17</v>
      </c>
    </row>
    <row r="28" spans="1:10" x14ac:dyDescent="0.25">
      <c r="A28" s="1" t="s">
        <v>16</v>
      </c>
      <c r="B28" s="1" t="s">
        <v>39</v>
      </c>
      <c r="C28" s="11"/>
      <c r="D28" s="11"/>
      <c r="E28" s="11">
        <v>6186</v>
      </c>
      <c r="F28" s="11"/>
      <c r="G28" s="11">
        <f t="shared" si="0"/>
        <v>6186</v>
      </c>
      <c r="H28" s="17">
        <f t="shared" si="1"/>
        <v>4.72</v>
      </c>
      <c r="I28" s="16">
        <f t="shared" si="2"/>
        <v>5.0000000000000001E-3</v>
      </c>
      <c r="J28" s="16">
        <f>ROUND(G28/5213-1,2)</f>
        <v>0.19</v>
      </c>
    </row>
    <row r="29" spans="1:10" x14ac:dyDescent="0.25">
      <c r="A29" s="1" t="s">
        <v>16</v>
      </c>
      <c r="B29" s="1" t="s">
        <v>40</v>
      </c>
      <c r="C29" s="11"/>
      <c r="D29" s="11"/>
      <c r="E29" s="11">
        <v>108070</v>
      </c>
      <c r="F29" s="11"/>
      <c r="G29" s="11">
        <f t="shared" si="0"/>
        <v>108070</v>
      </c>
      <c r="H29" s="17">
        <f t="shared" si="1"/>
        <v>82.43</v>
      </c>
      <c r="I29" s="16">
        <f t="shared" si="2"/>
        <v>8.8999999999999996E-2</v>
      </c>
      <c r="J29" s="16">
        <f>ROUND(G29/97510-1,2)</f>
        <v>0.11</v>
      </c>
    </row>
    <row r="30" spans="1:10" x14ac:dyDescent="0.25">
      <c r="A30" s="1" t="s">
        <v>16</v>
      </c>
      <c r="B30" s="1" t="s">
        <v>41</v>
      </c>
      <c r="C30" s="11"/>
      <c r="D30" s="11"/>
      <c r="E30" s="11">
        <v>6040</v>
      </c>
      <c r="F30" s="11"/>
      <c r="G30" s="11">
        <f t="shared" si="0"/>
        <v>6040</v>
      </c>
      <c r="H30" s="17">
        <f t="shared" si="1"/>
        <v>4.6100000000000003</v>
      </c>
      <c r="I30" s="16">
        <f t="shared" si="2"/>
        <v>5.0000000000000001E-3</v>
      </c>
      <c r="J30" s="16">
        <f>ROUND(G30/5100-1,2)</f>
        <v>0.18</v>
      </c>
    </row>
    <row r="31" spans="1:10" x14ac:dyDescent="0.25">
      <c r="A31" s="1" t="s">
        <v>16</v>
      </c>
      <c r="B31" s="1" t="s">
        <v>42</v>
      </c>
      <c r="C31" s="11"/>
      <c r="D31" s="11"/>
      <c r="E31" s="11">
        <v>23130</v>
      </c>
      <c r="F31" s="11"/>
      <c r="G31" s="11">
        <f t="shared" si="0"/>
        <v>23130</v>
      </c>
      <c r="H31" s="17">
        <f t="shared" si="1"/>
        <v>17.64</v>
      </c>
      <c r="I31" s="16">
        <f t="shared" si="2"/>
        <v>1.9E-2</v>
      </c>
      <c r="J31" s="16">
        <f>ROUND(G31/17040-1,2)</f>
        <v>0.36</v>
      </c>
    </row>
    <row r="32" spans="1:10" x14ac:dyDescent="0.25">
      <c r="A32" s="1" t="s">
        <v>16</v>
      </c>
      <c r="B32" s="1" t="s">
        <v>44</v>
      </c>
      <c r="C32" s="11"/>
      <c r="D32" s="11"/>
      <c r="E32" s="11">
        <v>21850</v>
      </c>
      <c r="F32" s="11"/>
      <c r="G32" s="11">
        <f t="shared" si="0"/>
        <v>21850</v>
      </c>
      <c r="H32" s="17">
        <f t="shared" si="1"/>
        <v>16.670000000000002</v>
      </c>
      <c r="I32" s="16">
        <f t="shared" si="2"/>
        <v>1.7999999999999999E-2</v>
      </c>
      <c r="J32" s="16">
        <f>ROUND(G32/15370-1,2)</f>
        <v>0.42</v>
      </c>
    </row>
    <row r="33" spans="1:10" x14ac:dyDescent="0.25">
      <c r="A33" s="1" t="s">
        <v>16</v>
      </c>
      <c r="B33" s="1" t="s">
        <v>18</v>
      </c>
      <c r="C33" s="11"/>
      <c r="D33" s="11"/>
      <c r="E33" s="11"/>
      <c r="F33" s="11"/>
      <c r="G33" s="11">
        <f t="shared" si="0"/>
        <v>0</v>
      </c>
      <c r="H33" s="17">
        <f t="shared" si="1"/>
        <v>0</v>
      </c>
      <c r="I33" s="16">
        <f t="shared" si="2"/>
        <v>0</v>
      </c>
      <c r="J33" s="16"/>
    </row>
    <row r="34" spans="1:10" x14ac:dyDescent="0.25">
      <c r="A34" s="1" t="s">
        <v>16</v>
      </c>
      <c r="B34" s="1" t="s">
        <v>31</v>
      </c>
      <c r="C34" s="11"/>
      <c r="D34" s="11"/>
      <c r="E34" s="11"/>
      <c r="F34" s="11"/>
      <c r="G34" s="11">
        <f t="shared" si="0"/>
        <v>0</v>
      </c>
      <c r="H34" s="17">
        <f t="shared" si="1"/>
        <v>0</v>
      </c>
      <c r="I34" s="16">
        <f t="shared" si="2"/>
        <v>0</v>
      </c>
      <c r="J34" s="16"/>
    </row>
    <row r="35" spans="1:10" x14ac:dyDescent="0.25">
      <c r="A35" s="1" t="s">
        <v>16</v>
      </c>
      <c r="B35" s="1" t="s">
        <v>36</v>
      </c>
      <c r="C35" s="11"/>
      <c r="D35" s="11"/>
      <c r="E35" s="11"/>
      <c r="F35" s="11"/>
      <c r="G35" s="11">
        <f t="shared" si="0"/>
        <v>0</v>
      </c>
      <c r="H35" s="17">
        <f t="shared" si="1"/>
        <v>0</v>
      </c>
      <c r="I35" s="16">
        <f t="shared" si="2"/>
        <v>0</v>
      </c>
      <c r="J35" s="16"/>
    </row>
    <row r="36" spans="1:10" x14ac:dyDescent="0.25">
      <c r="A36" s="1" t="s">
        <v>16</v>
      </c>
      <c r="B36" s="1" t="s">
        <v>97</v>
      </c>
      <c r="C36" s="11"/>
      <c r="D36" s="11"/>
      <c r="E36" s="11"/>
      <c r="F36" s="11"/>
      <c r="G36" s="11">
        <f t="shared" si="0"/>
        <v>0</v>
      </c>
      <c r="H36" s="17">
        <f t="shared" si="1"/>
        <v>0</v>
      </c>
      <c r="I36" s="16">
        <f t="shared" si="2"/>
        <v>0</v>
      </c>
      <c r="J36" s="16"/>
    </row>
    <row r="37" spans="1:10" x14ac:dyDescent="0.25">
      <c r="A37" s="1" t="s">
        <v>16</v>
      </c>
      <c r="B37" s="1" t="s">
        <v>96</v>
      </c>
      <c r="C37" s="11"/>
      <c r="D37" s="11"/>
      <c r="E37" s="11"/>
      <c r="F37" s="11"/>
      <c r="G37" s="11">
        <f t="shared" si="0"/>
        <v>0</v>
      </c>
      <c r="H37" s="17">
        <f t="shared" si="1"/>
        <v>0</v>
      </c>
      <c r="I37" s="16">
        <f t="shared" si="2"/>
        <v>0</v>
      </c>
      <c r="J37" s="16"/>
    </row>
    <row r="38" spans="1:10" x14ac:dyDescent="0.25">
      <c r="A38" s="1" t="s">
        <v>16</v>
      </c>
      <c r="B38" s="1" t="s">
        <v>35</v>
      </c>
      <c r="C38" s="11"/>
      <c r="D38" s="11"/>
      <c r="E38" s="11"/>
      <c r="F38" s="11"/>
      <c r="G38" s="11">
        <f t="shared" si="0"/>
        <v>0</v>
      </c>
      <c r="H38" s="17">
        <f t="shared" si="1"/>
        <v>0</v>
      </c>
      <c r="I38" s="16">
        <f t="shared" si="2"/>
        <v>0</v>
      </c>
      <c r="J38" s="16">
        <f>ROUND(G38/300-1,2)</f>
        <v>-1</v>
      </c>
    </row>
    <row r="39" spans="1:10" x14ac:dyDescent="0.25">
      <c r="A39" s="1" t="s">
        <v>16</v>
      </c>
      <c r="B39" s="1" t="s">
        <v>117</v>
      </c>
      <c r="C39" s="11"/>
      <c r="D39" s="11"/>
      <c r="E39" s="11"/>
      <c r="F39" s="11"/>
      <c r="G39" s="11">
        <f t="shared" si="0"/>
        <v>0</v>
      </c>
      <c r="H39" s="17">
        <f t="shared" si="1"/>
        <v>0</v>
      </c>
      <c r="I39" s="16">
        <f t="shared" si="2"/>
        <v>0</v>
      </c>
      <c r="J39" s="16"/>
    </row>
    <row r="40" spans="1:10" x14ac:dyDescent="0.25">
      <c r="A40" s="1" t="s">
        <v>16</v>
      </c>
      <c r="B40" s="1" t="s">
        <v>32</v>
      </c>
      <c r="C40" s="11"/>
      <c r="D40" s="11"/>
      <c r="E40" s="11"/>
      <c r="F40" s="11"/>
      <c r="G40" s="11">
        <f t="shared" si="0"/>
        <v>0</v>
      </c>
      <c r="H40" s="17">
        <f t="shared" si="1"/>
        <v>0</v>
      </c>
      <c r="I40" s="16">
        <f t="shared" si="2"/>
        <v>0</v>
      </c>
      <c r="J40" s="16"/>
    </row>
    <row r="41" spans="1:10" x14ac:dyDescent="0.25">
      <c r="A41" s="1" t="s">
        <v>45</v>
      </c>
      <c r="B41" s="1" t="s">
        <v>46</v>
      </c>
      <c r="C41" s="11"/>
      <c r="D41" s="11">
        <v>430640</v>
      </c>
      <c r="E41" s="11"/>
      <c r="F41" s="11"/>
      <c r="G41" s="11">
        <f t="shared" si="0"/>
        <v>430640</v>
      </c>
      <c r="H41" s="17">
        <f t="shared" si="1"/>
        <v>328.48</v>
      </c>
      <c r="I41" s="16">
        <f t="shared" si="2"/>
        <v>0.35599999999999998</v>
      </c>
      <c r="J41" s="16">
        <f>ROUND(G41/360040-1,2)</f>
        <v>0.2</v>
      </c>
    </row>
    <row r="42" spans="1:10" x14ac:dyDescent="0.25">
      <c r="A42" s="1" t="s">
        <v>45</v>
      </c>
      <c r="B42" s="1" t="s">
        <v>47</v>
      </c>
      <c r="C42" s="11"/>
      <c r="D42" s="11"/>
      <c r="E42" s="11">
        <v>33400</v>
      </c>
      <c r="F42" s="11"/>
      <c r="G42" s="11">
        <f t="shared" si="0"/>
        <v>33400</v>
      </c>
      <c r="H42" s="17">
        <f t="shared" si="1"/>
        <v>25.48</v>
      </c>
      <c r="I42" s="16">
        <f t="shared" si="2"/>
        <v>2.8000000000000001E-2</v>
      </c>
      <c r="J42" s="16">
        <f>ROUND(G42/27610-1,2)</f>
        <v>0.21</v>
      </c>
    </row>
    <row r="43" spans="1:10" x14ac:dyDescent="0.25">
      <c r="A43" s="1" t="s">
        <v>45</v>
      </c>
      <c r="B43" s="1" t="s">
        <v>48</v>
      </c>
      <c r="C43" s="11"/>
      <c r="D43" s="11"/>
      <c r="E43" s="11"/>
      <c r="F43" s="11"/>
      <c r="G43" s="11">
        <f t="shared" si="0"/>
        <v>0</v>
      </c>
      <c r="H43" s="17">
        <f t="shared" si="1"/>
        <v>0</v>
      </c>
      <c r="I43" s="16">
        <f t="shared" si="2"/>
        <v>0</v>
      </c>
      <c r="J43" s="16"/>
    </row>
    <row r="44" spans="1:10" x14ac:dyDescent="0.25">
      <c r="A44" s="26" t="s">
        <v>12</v>
      </c>
      <c r="B44" s="26"/>
      <c r="C44" s="12">
        <f t="shared" ref="C44:H44" si="3">SUM(C8:C43)</f>
        <v>0</v>
      </c>
      <c r="D44" s="12">
        <f t="shared" si="3"/>
        <v>870310</v>
      </c>
      <c r="E44" s="12">
        <f t="shared" si="3"/>
        <v>339734</v>
      </c>
      <c r="F44" s="12">
        <f t="shared" si="3"/>
        <v>23</v>
      </c>
      <c r="G44" s="12">
        <f t="shared" si="3"/>
        <v>1210067</v>
      </c>
      <c r="H44" s="15">
        <f t="shared" si="3"/>
        <v>923.0200000000001</v>
      </c>
      <c r="I44" s="18"/>
      <c r="J44" s="18"/>
    </row>
    <row r="45" spans="1:10" x14ac:dyDescent="0.25">
      <c r="A45" s="26" t="s">
        <v>14</v>
      </c>
      <c r="B45" s="26"/>
      <c r="C45" s="13">
        <f>ROUND(C44/G44,2)</f>
        <v>0</v>
      </c>
      <c r="D45" s="13">
        <f>ROUND(D44/G44,2)</f>
        <v>0.72</v>
      </c>
      <c r="E45" s="13">
        <f>ROUND(E44/G44,2)</f>
        <v>0.28000000000000003</v>
      </c>
      <c r="F45" s="13">
        <f>ROUND(F44/G44,2)</f>
        <v>0</v>
      </c>
      <c r="G45" s="14"/>
      <c r="H45" s="14"/>
      <c r="I45" s="18"/>
      <c r="J45" s="18"/>
    </row>
    <row r="46" spans="1:10" x14ac:dyDescent="0.25">
      <c r="A46" s="2" t="s">
        <v>53</v>
      </c>
      <c r="B46" s="2"/>
      <c r="C46" s="14"/>
      <c r="D46" s="14"/>
      <c r="E46" s="14"/>
      <c r="F46" s="14"/>
      <c r="G46" s="14"/>
      <c r="H46" s="14"/>
      <c r="I46" s="18"/>
      <c r="J46" s="18"/>
    </row>
    <row r="47" spans="1:10" x14ac:dyDescent="0.25">
      <c r="C47" s="9"/>
      <c r="D47" s="9"/>
      <c r="E47" s="9"/>
      <c r="F47" s="9"/>
      <c r="G47" s="9"/>
      <c r="H47" s="9"/>
      <c r="I47" s="10"/>
      <c r="J47" s="10"/>
    </row>
    <row r="48" spans="1:10" x14ac:dyDescent="0.25">
      <c r="C48" s="9"/>
      <c r="D48" s="9"/>
      <c r="E48" s="9"/>
      <c r="F48" s="9"/>
      <c r="G48" s="9"/>
      <c r="H48" s="9"/>
      <c r="I48" s="10"/>
      <c r="J48" s="10"/>
    </row>
    <row r="49" spans="1:10" x14ac:dyDescent="0.25">
      <c r="C49" s="9"/>
      <c r="D49" s="9"/>
      <c r="E49" s="9"/>
      <c r="F49" s="9"/>
      <c r="G49" s="9"/>
      <c r="H49" s="9"/>
      <c r="I49" s="10"/>
      <c r="J49" s="10"/>
    </row>
    <row r="50" spans="1:10" x14ac:dyDescent="0.25">
      <c r="A50" s="26" t="s">
        <v>54</v>
      </c>
      <c r="B50" s="26"/>
      <c r="C50" s="12" t="s">
        <v>8</v>
      </c>
      <c r="D50" s="12" t="s">
        <v>9</v>
      </c>
      <c r="E50" s="12" t="s">
        <v>10</v>
      </c>
      <c r="F50" s="12" t="s">
        <v>11</v>
      </c>
      <c r="G50" s="12" t="s">
        <v>12</v>
      </c>
      <c r="H50" s="15" t="s">
        <v>13</v>
      </c>
      <c r="I50" s="18"/>
      <c r="J50" s="18"/>
    </row>
    <row r="51" spans="1:10" x14ac:dyDescent="0.25">
      <c r="A51" s="21" t="s">
        <v>55</v>
      </c>
      <c r="B51" s="21"/>
      <c r="C51" s="11">
        <v>0</v>
      </c>
      <c r="D51" s="11">
        <v>439670</v>
      </c>
      <c r="E51" s="11">
        <v>306334</v>
      </c>
      <c r="F51" s="11">
        <v>0</v>
      </c>
      <c r="G51" s="11">
        <f>SUM(C51:F51)</f>
        <v>746004</v>
      </c>
      <c r="H51" s="17">
        <f>ROUND(G51/1311,2)</f>
        <v>569.03</v>
      </c>
      <c r="I51" s="10"/>
      <c r="J51" s="10"/>
    </row>
    <row r="52" spans="1:10" x14ac:dyDescent="0.25">
      <c r="A52" s="21" t="s">
        <v>56</v>
      </c>
      <c r="B52" s="21"/>
      <c r="C52" s="11">
        <v>0</v>
      </c>
      <c r="D52" s="11">
        <v>430640</v>
      </c>
      <c r="E52" s="11">
        <v>33400</v>
      </c>
      <c r="F52" s="11">
        <v>0</v>
      </c>
      <c r="G52" s="11">
        <f>SUM(C52:F52)</f>
        <v>464040</v>
      </c>
      <c r="H52" s="17">
        <f>ROUND(G52/1311,2)</f>
        <v>353.96</v>
      </c>
      <c r="I52" s="10"/>
      <c r="J52" s="10"/>
    </row>
    <row r="53" spans="1:10" x14ac:dyDescent="0.25">
      <c r="A53" s="21" t="s">
        <v>57</v>
      </c>
      <c r="B53" s="21"/>
      <c r="C53" s="11">
        <v>0</v>
      </c>
      <c r="D53" s="11">
        <v>0</v>
      </c>
      <c r="E53" s="11">
        <v>0</v>
      </c>
      <c r="F53" s="11">
        <v>23</v>
      </c>
      <c r="G53" s="11">
        <f>SUM(C53:F53)</f>
        <v>23</v>
      </c>
      <c r="H53" s="17">
        <f>ROUND(G53/1311,2)</f>
        <v>0.02</v>
      </c>
      <c r="I53" s="10"/>
      <c r="J53" s="10"/>
    </row>
    <row r="54" spans="1:10" x14ac:dyDescent="0.25">
      <c r="C54" s="9"/>
      <c r="D54" s="9"/>
      <c r="E54" s="9"/>
      <c r="F54" s="9"/>
      <c r="G54" s="9"/>
      <c r="H54" s="9"/>
      <c r="I54" s="10"/>
      <c r="J54" s="10"/>
    </row>
    <row r="55" spans="1:10" x14ac:dyDescent="0.25">
      <c r="C55" s="9"/>
      <c r="D55" s="9"/>
      <c r="E55" s="9"/>
      <c r="F55" s="9"/>
      <c r="G55" s="9"/>
      <c r="H55" s="9"/>
      <c r="I55" s="10"/>
      <c r="J55" s="10"/>
    </row>
    <row r="56" spans="1:10" x14ac:dyDescent="0.25">
      <c r="C56" s="9"/>
      <c r="D56" s="9"/>
      <c r="E56" s="9"/>
      <c r="F56" s="9"/>
      <c r="G56" s="9"/>
      <c r="H56" s="9"/>
      <c r="I56" s="10"/>
      <c r="J56" s="10"/>
    </row>
    <row r="57" spans="1:10" x14ac:dyDescent="0.25">
      <c r="C57" s="9"/>
      <c r="D57" s="9"/>
      <c r="E57" s="9"/>
      <c r="F57" s="9"/>
      <c r="G57" s="9"/>
      <c r="H57" s="9"/>
      <c r="I57" s="10"/>
      <c r="J57" s="10"/>
    </row>
    <row r="58" spans="1:10" x14ac:dyDescent="0.25">
      <c r="A58" s="26" t="s">
        <v>58</v>
      </c>
      <c r="B58" s="26"/>
      <c r="C58" s="15" t="s">
        <v>2</v>
      </c>
      <c r="D58" s="15">
        <v>2024</v>
      </c>
      <c r="E58" s="15" t="s">
        <v>60</v>
      </c>
      <c r="F58" s="14"/>
      <c r="G58" s="15" t="s">
        <v>61</v>
      </c>
      <c r="H58" s="15" t="s">
        <v>2</v>
      </c>
      <c r="I58" s="13" t="s">
        <v>62</v>
      </c>
      <c r="J58" s="13" t="s">
        <v>60</v>
      </c>
    </row>
    <row r="59" spans="1:10" x14ac:dyDescent="0.25">
      <c r="A59" s="21" t="s">
        <v>59</v>
      </c>
      <c r="B59" s="21"/>
      <c r="C59" s="16">
        <f>ROUND(0.6232, 4)</f>
        <v>0.62319999999999998</v>
      </c>
      <c r="D59" s="16">
        <f>ROUND(0.6549, 4)</f>
        <v>0.65490000000000004</v>
      </c>
      <c r="E59" s="16">
        <f>ROUND(0.7856, 4)</f>
        <v>0.78559999999999997</v>
      </c>
      <c r="F59" s="9"/>
      <c r="G59" s="15" t="s">
        <v>63</v>
      </c>
      <c r="H59" s="27" t="s">
        <v>64</v>
      </c>
      <c r="I59" s="24" t="s">
        <v>65</v>
      </c>
      <c r="J59" s="24" t="s">
        <v>66</v>
      </c>
    </row>
    <row r="60" spans="1:10" x14ac:dyDescent="0.25">
      <c r="A60" s="21" t="s">
        <v>67</v>
      </c>
      <c r="B60" s="21"/>
      <c r="C60" s="16">
        <f>ROUND(0.6232, 4)</f>
        <v>0.62319999999999998</v>
      </c>
      <c r="D60" s="16">
        <f>ROUND(0.6244, 4)</f>
        <v>0.62439999999999996</v>
      </c>
      <c r="E60" s="16">
        <f>ROUND(0.7702, 4)</f>
        <v>0.7702</v>
      </c>
      <c r="F60" s="9"/>
      <c r="G60" s="15" t="s">
        <v>68</v>
      </c>
      <c r="H60" s="28"/>
      <c r="I60" s="25"/>
      <c r="J60" s="25"/>
    </row>
    <row r="61" spans="1:10" x14ac:dyDescent="0.25">
      <c r="C61" s="9"/>
      <c r="D61" s="9"/>
      <c r="E61" s="9"/>
      <c r="F61" s="9"/>
      <c r="G61" s="9"/>
      <c r="H61" s="9"/>
      <c r="I61" s="10"/>
      <c r="J61" s="10"/>
    </row>
    <row r="62" spans="1:10" x14ac:dyDescent="0.25">
      <c r="C62" s="9"/>
      <c r="D62" s="9"/>
      <c r="E62" s="9"/>
      <c r="F62" s="9"/>
      <c r="G62" s="9"/>
      <c r="H62" s="9"/>
      <c r="I62" s="10"/>
      <c r="J62" s="10"/>
    </row>
    <row r="63" spans="1:10" x14ac:dyDescent="0.25">
      <c r="C63" s="9"/>
      <c r="D63" s="9"/>
      <c r="E63" s="9"/>
      <c r="F63" s="9"/>
      <c r="G63" s="9"/>
      <c r="H63" s="9"/>
      <c r="I63" s="10"/>
      <c r="J63" s="10"/>
    </row>
    <row r="64" spans="1:10" x14ac:dyDescent="0.25">
      <c r="A64" s="26" t="s">
        <v>69</v>
      </c>
      <c r="B64" s="26"/>
      <c r="C64" s="15" t="s">
        <v>2</v>
      </c>
      <c r="D64" s="15" t="s">
        <v>311</v>
      </c>
      <c r="E64" s="15" t="s">
        <v>71</v>
      </c>
      <c r="F64" s="15" t="s">
        <v>72</v>
      </c>
      <c r="G64" s="15" t="s">
        <v>73</v>
      </c>
      <c r="H64" s="14"/>
      <c r="I64" s="18"/>
      <c r="J64" s="18"/>
    </row>
    <row r="65" spans="1:10" x14ac:dyDescent="0.25">
      <c r="A65" s="21" t="s">
        <v>74</v>
      </c>
      <c r="B65" s="21"/>
      <c r="C65" s="17">
        <v>328.48</v>
      </c>
      <c r="D65" s="17">
        <v>268.37</v>
      </c>
      <c r="E65" s="17">
        <v>96.15</v>
      </c>
      <c r="F65" s="17">
        <v>57.94</v>
      </c>
      <c r="G65" s="17">
        <f>12/12*C65</f>
        <v>328.48</v>
      </c>
      <c r="H65" s="9"/>
      <c r="I65" s="10"/>
      <c r="J65" s="10"/>
    </row>
    <row r="66" spans="1:10" x14ac:dyDescent="0.25">
      <c r="A66" s="21" t="s">
        <v>75</v>
      </c>
      <c r="B66" s="21"/>
      <c r="C66" s="17">
        <v>97.74</v>
      </c>
      <c r="D66" s="17">
        <v>95.64</v>
      </c>
      <c r="E66" s="17">
        <v>62.28</v>
      </c>
      <c r="F66" s="17">
        <v>66.599999999999994</v>
      </c>
      <c r="G66" s="17">
        <f>12/12*C66</f>
        <v>97.74</v>
      </c>
      <c r="H66" s="9"/>
      <c r="I66" s="10"/>
      <c r="J66" s="10"/>
    </row>
    <row r="67" spans="1:10" x14ac:dyDescent="0.25">
      <c r="A67" s="21" t="s">
        <v>76</v>
      </c>
      <c r="B67" s="21"/>
      <c r="C67" s="17">
        <v>569.03</v>
      </c>
      <c r="D67" s="17">
        <v>521.08000000000004</v>
      </c>
      <c r="E67" s="17">
        <v>300.02</v>
      </c>
      <c r="F67" s="17">
        <v>295.08</v>
      </c>
      <c r="G67" s="17">
        <f>12/12*C67</f>
        <v>569.03</v>
      </c>
      <c r="H67" s="9"/>
      <c r="I67" s="10"/>
      <c r="J67" s="10"/>
    </row>
    <row r="68" spans="1:10" x14ac:dyDescent="0.25">
      <c r="A68" s="21" t="s">
        <v>77</v>
      </c>
      <c r="B68" s="21"/>
      <c r="C68" s="17">
        <v>353.96</v>
      </c>
      <c r="D68" s="17">
        <v>295.73</v>
      </c>
      <c r="E68" s="17">
        <v>120.96</v>
      </c>
      <c r="F68" s="17">
        <v>83.12</v>
      </c>
      <c r="G68" s="17">
        <f>12/12*C68</f>
        <v>353.96</v>
      </c>
      <c r="H68" s="9"/>
      <c r="I68" s="10"/>
      <c r="J68" s="10"/>
    </row>
    <row r="69" spans="1:10" x14ac:dyDescent="0.25">
      <c r="C69" s="9"/>
      <c r="D69" s="9"/>
      <c r="E69" s="9"/>
      <c r="F69" s="9"/>
      <c r="G69" s="9"/>
      <c r="H69" s="9"/>
      <c r="I69" s="10"/>
      <c r="J69" s="10"/>
    </row>
    <row r="70" spans="1:10" x14ac:dyDescent="0.25">
      <c r="C70" s="9"/>
      <c r="D70" s="9"/>
      <c r="E70" s="9"/>
      <c r="F70" s="9"/>
      <c r="G70" s="9"/>
      <c r="H70" s="9"/>
      <c r="I70" s="10"/>
      <c r="J70" s="10"/>
    </row>
    <row r="71" spans="1:10" x14ac:dyDescent="0.25">
      <c r="A71" s="22" t="s">
        <v>61</v>
      </c>
      <c r="B71" s="23"/>
    </row>
    <row r="72" spans="1:10" x14ac:dyDescent="0.25">
      <c r="A72" s="3" t="s">
        <v>78</v>
      </c>
      <c r="B72" s="1" t="s">
        <v>312</v>
      </c>
    </row>
    <row r="73" spans="1:10" x14ac:dyDescent="0.25">
      <c r="A73" s="3" t="s">
        <v>71</v>
      </c>
      <c r="B73" s="1" t="s">
        <v>80</v>
      </c>
    </row>
    <row r="74" spans="1:10" x14ac:dyDescent="0.25">
      <c r="A74" s="3" t="s">
        <v>72</v>
      </c>
      <c r="B74" s="1" t="s">
        <v>81</v>
      </c>
    </row>
    <row r="75" spans="1:10" x14ac:dyDescent="0.25">
      <c r="A75" s="3" t="s">
        <v>73</v>
      </c>
      <c r="B75" s="1" t="s">
        <v>82</v>
      </c>
    </row>
  </sheetData>
  <mergeCells count="19">
    <mergeCell ref="C7:G7"/>
    <mergeCell ref="A44:B44"/>
    <mergeCell ref="A45:B45"/>
    <mergeCell ref="A50:B50"/>
    <mergeCell ref="A51:B51"/>
    <mergeCell ref="J59:J60"/>
    <mergeCell ref="A60:B60"/>
    <mergeCell ref="A64:B64"/>
    <mergeCell ref="A65:B65"/>
    <mergeCell ref="A52:B52"/>
    <mergeCell ref="A53:B53"/>
    <mergeCell ref="A58:B58"/>
    <mergeCell ref="A59:B59"/>
    <mergeCell ref="H59:H60"/>
    <mergeCell ref="A66:B66"/>
    <mergeCell ref="A67:B67"/>
    <mergeCell ref="A68:B68"/>
    <mergeCell ref="A71:B71"/>
    <mergeCell ref="I59:I60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2:J74"/>
  <sheetViews>
    <sheetView workbookViewId="0">
      <selection activeCell="H5" sqref="H5"/>
    </sheetView>
  </sheetViews>
  <sheetFormatPr defaultRowHeight="15" x14ac:dyDescent="0.25"/>
  <cols>
    <col min="1" max="1" width="28.42578125" bestFit="1" customWidth="1"/>
    <col min="2" max="2" width="59.5703125" bestFit="1" customWidth="1"/>
    <col min="3" max="3" width="12.7109375" bestFit="1" customWidth="1"/>
    <col min="4" max="4" width="20.7109375" bestFit="1" customWidth="1"/>
    <col min="5" max="5" width="13.85546875" bestFit="1" customWidth="1"/>
    <col min="6" max="6" width="8.5703125" bestFit="1" customWidth="1"/>
    <col min="7" max="7" width="47.7109375" bestFit="1" customWidth="1"/>
    <col min="8" max="9" width="16.7109375" bestFit="1" customWidth="1"/>
    <col min="10" max="10" width="24.42578125" bestFit="1" customWidth="1"/>
  </cols>
  <sheetData>
    <row r="2" spans="1:10" ht="18.75" x14ac:dyDescent="0.3">
      <c r="A2" s="3" t="s">
        <v>0</v>
      </c>
      <c r="B2" s="4" t="s">
        <v>313</v>
      </c>
    </row>
    <row r="3" spans="1:10" x14ac:dyDescent="0.25">
      <c r="A3" s="3" t="s">
        <v>2</v>
      </c>
      <c r="B3" s="1" t="s">
        <v>3</v>
      </c>
    </row>
    <row r="4" spans="1:10" x14ac:dyDescent="0.25">
      <c r="A4" s="3" t="s">
        <v>4</v>
      </c>
      <c r="B4" s="20">
        <v>392</v>
      </c>
    </row>
    <row r="7" spans="1:10" x14ac:dyDescent="0.25">
      <c r="C7" s="22" t="s">
        <v>5</v>
      </c>
      <c r="D7" s="21"/>
      <c r="E7" s="21"/>
      <c r="F7" s="21"/>
      <c r="G7" s="21"/>
    </row>
    <row r="8" spans="1:10" x14ac:dyDescent="0.25">
      <c r="A8" s="3" t="s">
        <v>6</v>
      </c>
      <c r="B8" s="3" t="s">
        <v>7</v>
      </c>
      <c r="C8" s="15" t="s">
        <v>8</v>
      </c>
      <c r="D8" s="15" t="s">
        <v>9</v>
      </c>
      <c r="E8" s="15" t="s">
        <v>10</v>
      </c>
      <c r="F8" s="15" t="s">
        <v>11</v>
      </c>
      <c r="G8" s="15" t="s">
        <v>12</v>
      </c>
      <c r="H8" s="15" t="s">
        <v>13</v>
      </c>
      <c r="I8" s="15" t="s">
        <v>14</v>
      </c>
      <c r="J8" s="15" t="s">
        <v>15</v>
      </c>
    </row>
    <row r="9" spans="1:10" x14ac:dyDescent="0.25">
      <c r="A9" s="1" t="s">
        <v>16</v>
      </c>
      <c r="B9" s="1" t="s">
        <v>19</v>
      </c>
      <c r="C9" s="11">
        <v>25820</v>
      </c>
      <c r="D9" s="11"/>
      <c r="E9" s="11"/>
      <c r="F9" s="11"/>
      <c r="G9" s="11">
        <f t="shared" ref="G9:G38" si="0">SUM(C9:F9)</f>
        <v>25820</v>
      </c>
      <c r="H9" s="17">
        <f t="shared" ref="H9:H38" si="1">ROUND(G9/392,2)</f>
        <v>65.87</v>
      </c>
      <c r="I9" s="16">
        <f t="shared" ref="I9:I38" si="2">ROUND(G9/$G$39,3)</f>
        <v>8.6999999999999994E-2</v>
      </c>
      <c r="J9" s="16">
        <f>ROUND(G9/25700-1,2)</f>
        <v>0</v>
      </c>
    </row>
    <row r="10" spans="1:10" x14ac:dyDescent="0.25">
      <c r="A10" s="1" t="s">
        <v>16</v>
      </c>
      <c r="B10" s="1" t="s">
        <v>20</v>
      </c>
      <c r="C10" s="11">
        <v>41360</v>
      </c>
      <c r="D10" s="11"/>
      <c r="E10" s="11"/>
      <c r="F10" s="11"/>
      <c r="G10" s="11">
        <f t="shared" si="0"/>
        <v>41360</v>
      </c>
      <c r="H10" s="17">
        <f t="shared" si="1"/>
        <v>105.51</v>
      </c>
      <c r="I10" s="16">
        <f t="shared" si="2"/>
        <v>0.14000000000000001</v>
      </c>
      <c r="J10" s="16">
        <f>ROUND(G10/53225-1,2)</f>
        <v>-0.22</v>
      </c>
    </row>
    <row r="11" spans="1:10" x14ac:dyDescent="0.25">
      <c r="A11" s="1" t="s">
        <v>16</v>
      </c>
      <c r="B11" s="1" t="s">
        <v>21</v>
      </c>
      <c r="C11" s="11"/>
      <c r="D11" s="11"/>
      <c r="E11" s="11">
        <v>210</v>
      </c>
      <c r="F11" s="11"/>
      <c r="G11" s="11">
        <f t="shared" si="0"/>
        <v>210</v>
      </c>
      <c r="H11" s="17">
        <f t="shared" si="1"/>
        <v>0.54</v>
      </c>
      <c r="I11" s="16">
        <f t="shared" si="2"/>
        <v>1E-3</v>
      </c>
      <c r="J11" s="16">
        <f>ROUND(G11/80-1,2)</f>
        <v>1.63</v>
      </c>
    </row>
    <row r="12" spans="1:10" x14ac:dyDescent="0.25">
      <c r="A12" s="1" t="s">
        <v>16</v>
      </c>
      <c r="B12" s="1" t="s">
        <v>23</v>
      </c>
      <c r="C12" s="11"/>
      <c r="D12" s="11"/>
      <c r="E12" s="11">
        <v>17640</v>
      </c>
      <c r="F12" s="11"/>
      <c r="G12" s="11">
        <f t="shared" si="0"/>
        <v>17640</v>
      </c>
      <c r="H12" s="17">
        <f t="shared" si="1"/>
        <v>45</v>
      </c>
      <c r="I12" s="16">
        <f t="shared" si="2"/>
        <v>0.06</v>
      </c>
      <c r="J12" s="16">
        <f>ROUND(G12/7660-1,2)</f>
        <v>1.3</v>
      </c>
    </row>
    <row r="13" spans="1:10" x14ac:dyDescent="0.25">
      <c r="A13" s="1" t="s">
        <v>16</v>
      </c>
      <c r="B13" s="1" t="s">
        <v>24</v>
      </c>
      <c r="C13" s="11">
        <v>32000</v>
      </c>
      <c r="D13" s="11"/>
      <c r="E13" s="11"/>
      <c r="F13" s="11"/>
      <c r="G13" s="11">
        <f t="shared" si="0"/>
        <v>32000</v>
      </c>
      <c r="H13" s="17">
        <f t="shared" si="1"/>
        <v>81.63</v>
      </c>
      <c r="I13" s="16">
        <f t="shared" si="2"/>
        <v>0.108</v>
      </c>
      <c r="J13" s="16">
        <f>ROUND(G13/41820-1,2)</f>
        <v>-0.23</v>
      </c>
    </row>
    <row r="14" spans="1:10" x14ac:dyDescent="0.25">
      <c r="A14" s="1" t="s">
        <v>16</v>
      </c>
      <c r="B14" s="1" t="s">
        <v>25</v>
      </c>
      <c r="C14" s="11"/>
      <c r="D14" s="11"/>
      <c r="E14" s="11">
        <v>1340</v>
      </c>
      <c r="F14" s="11"/>
      <c r="G14" s="11">
        <f t="shared" si="0"/>
        <v>1340</v>
      </c>
      <c r="H14" s="17">
        <f t="shared" si="1"/>
        <v>3.42</v>
      </c>
      <c r="I14" s="16">
        <f t="shared" si="2"/>
        <v>5.0000000000000001E-3</v>
      </c>
      <c r="J14" s="16"/>
    </row>
    <row r="15" spans="1:10" x14ac:dyDescent="0.25">
      <c r="A15" s="1" t="s">
        <v>16</v>
      </c>
      <c r="B15" s="1" t="s">
        <v>26</v>
      </c>
      <c r="C15" s="11">
        <v>38770</v>
      </c>
      <c r="D15" s="11"/>
      <c r="E15" s="11"/>
      <c r="F15" s="11"/>
      <c r="G15" s="11">
        <f t="shared" si="0"/>
        <v>38770</v>
      </c>
      <c r="H15" s="17">
        <f t="shared" si="1"/>
        <v>98.9</v>
      </c>
      <c r="I15" s="16">
        <f t="shared" si="2"/>
        <v>0.13100000000000001</v>
      </c>
      <c r="J15" s="16">
        <f>ROUND(G15/34240-1,2)</f>
        <v>0.13</v>
      </c>
    </row>
    <row r="16" spans="1:10" x14ac:dyDescent="0.25">
      <c r="A16" s="1" t="s">
        <v>16</v>
      </c>
      <c r="B16" s="1" t="s">
        <v>27</v>
      </c>
      <c r="C16" s="11"/>
      <c r="D16" s="11"/>
      <c r="E16" s="11">
        <v>1152</v>
      </c>
      <c r="F16" s="11"/>
      <c r="G16" s="11">
        <f t="shared" si="0"/>
        <v>1152</v>
      </c>
      <c r="H16" s="17">
        <f t="shared" si="1"/>
        <v>2.94</v>
      </c>
      <c r="I16" s="16">
        <f t="shared" si="2"/>
        <v>4.0000000000000001E-3</v>
      </c>
      <c r="J16" s="16">
        <f>ROUND(G16/44-1,2)</f>
        <v>25.18</v>
      </c>
    </row>
    <row r="17" spans="1:10" x14ac:dyDescent="0.25">
      <c r="A17" s="1" t="s">
        <v>16</v>
      </c>
      <c r="B17" s="1" t="s">
        <v>28</v>
      </c>
      <c r="C17" s="11"/>
      <c r="D17" s="11"/>
      <c r="E17" s="11">
        <v>223</v>
      </c>
      <c r="F17" s="11"/>
      <c r="G17" s="11">
        <f t="shared" si="0"/>
        <v>223</v>
      </c>
      <c r="H17" s="17">
        <f t="shared" si="1"/>
        <v>0.56999999999999995</v>
      </c>
      <c r="I17" s="16">
        <f t="shared" si="2"/>
        <v>1E-3</v>
      </c>
      <c r="J17" s="16">
        <f>ROUND(G17/20-1,2)</f>
        <v>10.15</v>
      </c>
    </row>
    <row r="18" spans="1:10" x14ac:dyDescent="0.25">
      <c r="A18" s="1" t="s">
        <v>16</v>
      </c>
      <c r="B18" s="1" t="s">
        <v>30</v>
      </c>
      <c r="C18" s="11"/>
      <c r="D18" s="11"/>
      <c r="E18" s="11">
        <v>510</v>
      </c>
      <c r="F18" s="11"/>
      <c r="G18" s="11">
        <f t="shared" si="0"/>
        <v>510</v>
      </c>
      <c r="H18" s="17">
        <f t="shared" si="1"/>
        <v>1.3</v>
      </c>
      <c r="I18" s="16">
        <f t="shared" si="2"/>
        <v>2E-3</v>
      </c>
      <c r="J18" s="16">
        <f>ROUND(G18/1010-1,2)</f>
        <v>-0.5</v>
      </c>
    </row>
    <row r="19" spans="1:10" x14ac:dyDescent="0.25">
      <c r="A19" s="1" t="s">
        <v>16</v>
      </c>
      <c r="B19" s="1" t="s">
        <v>33</v>
      </c>
      <c r="C19" s="11"/>
      <c r="D19" s="11"/>
      <c r="E19" s="11">
        <v>1182</v>
      </c>
      <c r="F19" s="11"/>
      <c r="G19" s="11">
        <f t="shared" si="0"/>
        <v>1182</v>
      </c>
      <c r="H19" s="17">
        <f t="shared" si="1"/>
        <v>3.02</v>
      </c>
      <c r="I19" s="16">
        <f t="shared" si="2"/>
        <v>4.0000000000000001E-3</v>
      </c>
      <c r="J19" s="16">
        <f>ROUND(G19/540-1,2)</f>
        <v>1.19</v>
      </c>
    </row>
    <row r="20" spans="1:10" x14ac:dyDescent="0.25">
      <c r="A20" s="1" t="s">
        <v>16</v>
      </c>
      <c r="B20" s="1" t="s">
        <v>34</v>
      </c>
      <c r="C20" s="11"/>
      <c r="D20" s="11"/>
      <c r="E20" s="11">
        <v>32</v>
      </c>
      <c r="F20" s="11"/>
      <c r="G20" s="11">
        <f t="shared" si="0"/>
        <v>32</v>
      </c>
      <c r="H20" s="17">
        <f t="shared" si="1"/>
        <v>0.08</v>
      </c>
      <c r="I20" s="16">
        <f t="shared" si="2"/>
        <v>0</v>
      </c>
      <c r="J20" s="16">
        <f>ROUND(G20/103-1,2)</f>
        <v>-0.69</v>
      </c>
    </row>
    <row r="21" spans="1:10" x14ac:dyDescent="0.25">
      <c r="A21" s="1" t="s">
        <v>16</v>
      </c>
      <c r="B21" s="1" t="s">
        <v>37</v>
      </c>
      <c r="C21" s="11"/>
      <c r="D21" s="11"/>
      <c r="E21" s="11">
        <v>340</v>
      </c>
      <c r="F21" s="11"/>
      <c r="G21" s="11">
        <f t="shared" si="0"/>
        <v>340</v>
      </c>
      <c r="H21" s="17">
        <f t="shared" si="1"/>
        <v>0.87</v>
      </c>
      <c r="I21" s="16">
        <f t="shared" si="2"/>
        <v>1E-3</v>
      </c>
      <c r="J21" s="16">
        <f>ROUND(G21/560-1,2)</f>
        <v>-0.39</v>
      </c>
    </row>
    <row r="22" spans="1:10" x14ac:dyDescent="0.25">
      <c r="A22" s="1" t="s">
        <v>16</v>
      </c>
      <c r="B22" s="1" t="s">
        <v>38</v>
      </c>
      <c r="C22" s="11"/>
      <c r="D22" s="11"/>
      <c r="E22" s="11">
        <v>620</v>
      </c>
      <c r="F22" s="11"/>
      <c r="G22" s="11">
        <f t="shared" si="0"/>
        <v>620</v>
      </c>
      <c r="H22" s="17">
        <f t="shared" si="1"/>
        <v>1.58</v>
      </c>
      <c r="I22" s="16">
        <f t="shared" si="2"/>
        <v>2E-3</v>
      </c>
      <c r="J22" s="16">
        <f>ROUND(G22/1540-1,2)</f>
        <v>-0.6</v>
      </c>
    </row>
    <row r="23" spans="1:10" x14ac:dyDescent="0.25">
      <c r="A23" s="1" t="s">
        <v>16</v>
      </c>
      <c r="B23" s="1" t="s">
        <v>39</v>
      </c>
      <c r="C23" s="11"/>
      <c r="D23" s="11"/>
      <c r="E23" s="11">
        <v>4110</v>
      </c>
      <c r="F23" s="11"/>
      <c r="G23" s="11">
        <f t="shared" si="0"/>
        <v>4110</v>
      </c>
      <c r="H23" s="17">
        <f t="shared" si="1"/>
        <v>10.48</v>
      </c>
      <c r="I23" s="16">
        <f t="shared" si="2"/>
        <v>1.4E-2</v>
      </c>
      <c r="J23" s="16">
        <f>ROUND(G23/1180-1,2)</f>
        <v>2.48</v>
      </c>
    </row>
    <row r="24" spans="1:10" x14ac:dyDescent="0.25">
      <c r="A24" s="1" t="s">
        <v>16</v>
      </c>
      <c r="B24" s="1" t="s">
        <v>40</v>
      </c>
      <c r="C24" s="11"/>
      <c r="D24" s="11"/>
      <c r="E24" s="11">
        <v>21615</v>
      </c>
      <c r="F24" s="11"/>
      <c r="G24" s="11">
        <f t="shared" si="0"/>
        <v>21615</v>
      </c>
      <c r="H24" s="17">
        <f t="shared" si="1"/>
        <v>55.14</v>
      </c>
      <c r="I24" s="16">
        <f t="shared" si="2"/>
        <v>7.2999999999999995E-2</v>
      </c>
      <c r="J24" s="16">
        <f>ROUND(G24/14965-1,2)</f>
        <v>0.44</v>
      </c>
    </row>
    <row r="25" spans="1:10" x14ac:dyDescent="0.25">
      <c r="A25" s="1" t="s">
        <v>16</v>
      </c>
      <c r="B25" s="1" t="s">
        <v>42</v>
      </c>
      <c r="C25" s="11"/>
      <c r="D25" s="11"/>
      <c r="E25" s="11">
        <v>8510</v>
      </c>
      <c r="F25" s="11"/>
      <c r="G25" s="11">
        <f t="shared" si="0"/>
        <v>8510</v>
      </c>
      <c r="H25" s="17">
        <f t="shared" si="1"/>
        <v>21.71</v>
      </c>
      <c r="I25" s="16">
        <f t="shared" si="2"/>
        <v>2.9000000000000001E-2</v>
      </c>
      <c r="J25" s="16">
        <f>ROUND(G25/7860-1,2)</f>
        <v>0.08</v>
      </c>
    </row>
    <row r="26" spans="1:10" x14ac:dyDescent="0.25">
      <c r="A26" s="1" t="s">
        <v>16</v>
      </c>
      <c r="B26" s="1" t="s">
        <v>44</v>
      </c>
      <c r="C26" s="11"/>
      <c r="D26" s="11"/>
      <c r="E26" s="11">
        <v>1535</v>
      </c>
      <c r="F26" s="11"/>
      <c r="G26" s="11">
        <f t="shared" si="0"/>
        <v>1535</v>
      </c>
      <c r="H26" s="17">
        <f t="shared" si="1"/>
        <v>3.92</v>
      </c>
      <c r="I26" s="16">
        <f t="shared" si="2"/>
        <v>5.0000000000000001E-3</v>
      </c>
      <c r="J26" s="16"/>
    </row>
    <row r="27" spans="1:10" x14ac:dyDescent="0.25">
      <c r="A27" s="1" t="s">
        <v>16</v>
      </c>
      <c r="B27" s="1" t="s">
        <v>29</v>
      </c>
      <c r="C27" s="11"/>
      <c r="D27" s="11"/>
      <c r="E27" s="11"/>
      <c r="F27" s="11"/>
      <c r="G27" s="11">
        <f t="shared" si="0"/>
        <v>0</v>
      </c>
      <c r="H27" s="17">
        <f t="shared" si="1"/>
        <v>0</v>
      </c>
      <c r="I27" s="16">
        <f t="shared" si="2"/>
        <v>0</v>
      </c>
      <c r="J27" s="16"/>
    </row>
    <row r="28" spans="1:10" x14ac:dyDescent="0.25">
      <c r="A28" s="1" t="s">
        <v>16</v>
      </c>
      <c r="B28" s="1" t="s">
        <v>31</v>
      </c>
      <c r="C28" s="11"/>
      <c r="D28" s="11"/>
      <c r="E28" s="11"/>
      <c r="F28" s="11"/>
      <c r="G28" s="11">
        <f t="shared" si="0"/>
        <v>0</v>
      </c>
      <c r="H28" s="17">
        <f t="shared" si="1"/>
        <v>0</v>
      </c>
      <c r="I28" s="16">
        <f t="shared" si="2"/>
        <v>0</v>
      </c>
      <c r="J28" s="16"/>
    </row>
    <row r="29" spans="1:10" x14ac:dyDescent="0.25">
      <c r="A29" s="1" t="s">
        <v>16</v>
      </c>
      <c r="B29" s="1" t="s">
        <v>96</v>
      </c>
      <c r="C29" s="11"/>
      <c r="D29" s="11"/>
      <c r="E29" s="11"/>
      <c r="F29" s="11"/>
      <c r="G29" s="11">
        <f t="shared" si="0"/>
        <v>0</v>
      </c>
      <c r="H29" s="17">
        <f t="shared" si="1"/>
        <v>0</v>
      </c>
      <c r="I29" s="16">
        <f t="shared" si="2"/>
        <v>0</v>
      </c>
      <c r="J29" s="16"/>
    </row>
    <row r="30" spans="1:10" x14ac:dyDescent="0.25">
      <c r="A30" s="1" t="s">
        <v>16</v>
      </c>
      <c r="B30" s="1" t="s">
        <v>121</v>
      </c>
      <c r="C30" s="11"/>
      <c r="D30" s="11"/>
      <c r="E30" s="11"/>
      <c r="F30" s="11"/>
      <c r="G30" s="11">
        <f t="shared" si="0"/>
        <v>0</v>
      </c>
      <c r="H30" s="17">
        <f t="shared" si="1"/>
        <v>0</v>
      </c>
      <c r="I30" s="16">
        <f t="shared" si="2"/>
        <v>0</v>
      </c>
      <c r="J30" s="16"/>
    </row>
    <row r="31" spans="1:10" x14ac:dyDescent="0.25">
      <c r="A31" s="1" t="s">
        <v>16</v>
      </c>
      <c r="B31" s="1" t="s">
        <v>22</v>
      </c>
      <c r="C31" s="11"/>
      <c r="D31" s="11"/>
      <c r="E31" s="11"/>
      <c r="F31" s="11"/>
      <c r="G31" s="11">
        <f t="shared" si="0"/>
        <v>0</v>
      </c>
      <c r="H31" s="17">
        <f t="shared" si="1"/>
        <v>0</v>
      </c>
      <c r="I31" s="16">
        <f t="shared" si="2"/>
        <v>0</v>
      </c>
      <c r="J31" s="16"/>
    </row>
    <row r="32" spans="1:10" x14ac:dyDescent="0.25">
      <c r="A32" s="1" t="s">
        <v>16</v>
      </c>
      <c r="B32" s="1" t="s">
        <v>32</v>
      </c>
      <c r="C32" s="11"/>
      <c r="D32" s="11"/>
      <c r="E32" s="11"/>
      <c r="F32" s="11"/>
      <c r="G32" s="11">
        <f t="shared" si="0"/>
        <v>0</v>
      </c>
      <c r="H32" s="17">
        <f t="shared" si="1"/>
        <v>0</v>
      </c>
      <c r="I32" s="16">
        <f t="shared" si="2"/>
        <v>0</v>
      </c>
      <c r="J32" s="16"/>
    </row>
    <row r="33" spans="1:10" x14ac:dyDescent="0.25">
      <c r="A33" s="1" t="s">
        <v>16</v>
      </c>
      <c r="B33" s="1" t="s">
        <v>36</v>
      </c>
      <c r="C33" s="11"/>
      <c r="D33" s="11"/>
      <c r="E33" s="11"/>
      <c r="F33" s="11"/>
      <c r="G33" s="11">
        <f t="shared" si="0"/>
        <v>0</v>
      </c>
      <c r="H33" s="17">
        <f t="shared" si="1"/>
        <v>0</v>
      </c>
      <c r="I33" s="16">
        <f t="shared" si="2"/>
        <v>0</v>
      </c>
      <c r="J33" s="16"/>
    </row>
    <row r="34" spans="1:10" x14ac:dyDescent="0.25">
      <c r="A34" s="1" t="s">
        <v>16</v>
      </c>
      <c r="B34" s="1" t="s">
        <v>41</v>
      </c>
      <c r="C34" s="11"/>
      <c r="D34" s="11"/>
      <c r="E34" s="11"/>
      <c r="F34" s="11"/>
      <c r="G34" s="11">
        <f t="shared" si="0"/>
        <v>0</v>
      </c>
      <c r="H34" s="17">
        <f t="shared" si="1"/>
        <v>0</v>
      </c>
      <c r="I34" s="16">
        <f t="shared" si="2"/>
        <v>0</v>
      </c>
      <c r="J34" s="16"/>
    </row>
    <row r="35" spans="1:10" x14ac:dyDescent="0.25">
      <c r="A35" s="1" t="s">
        <v>45</v>
      </c>
      <c r="B35" s="1" t="s">
        <v>46</v>
      </c>
      <c r="C35" s="11">
        <v>69700</v>
      </c>
      <c r="D35" s="11"/>
      <c r="E35" s="11"/>
      <c r="F35" s="11"/>
      <c r="G35" s="11">
        <f t="shared" si="0"/>
        <v>69700</v>
      </c>
      <c r="H35" s="17">
        <f t="shared" si="1"/>
        <v>177.81</v>
      </c>
      <c r="I35" s="16">
        <f t="shared" si="2"/>
        <v>0.23499999999999999</v>
      </c>
      <c r="J35" s="16">
        <f>ROUND(G35/69220-1,2)</f>
        <v>0.01</v>
      </c>
    </row>
    <row r="36" spans="1:10" x14ac:dyDescent="0.25">
      <c r="A36" s="1" t="s">
        <v>45</v>
      </c>
      <c r="B36" s="1" t="s">
        <v>48</v>
      </c>
      <c r="C36" s="11"/>
      <c r="D36" s="11"/>
      <c r="E36" s="11"/>
      <c r="F36" s="11">
        <v>16600</v>
      </c>
      <c r="G36" s="11">
        <f t="shared" si="0"/>
        <v>16600</v>
      </c>
      <c r="H36" s="17">
        <f t="shared" si="1"/>
        <v>42.35</v>
      </c>
      <c r="I36" s="16">
        <f t="shared" si="2"/>
        <v>5.6000000000000001E-2</v>
      </c>
      <c r="J36" s="16"/>
    </row>
    <row r="37" spans="1:10" x14ac:dyDescent="0.25">
      <c r="A37" s="1" t="s">
        <v>45</v>
      </c>
      <c r="B37" s="1" t="s">
        <v>47</v>
      </c>
      <c r="C37" s="11"/>
      <c r="D37" s="11"/>
      <c r="E37" s="11">
        <v>12970</v>
      </c>
      <c r="F37" s="11"/>
      <c r="G37" s="11">
        <f t="shared" si="0"/>
        <v>12970</v>
      </c>
      <c r="H37" s="17">
        <f t="shared" si="1"/>
        <v>33.090000000000003</v>
      </c>
      <c r="I37" s="16">
        <f t="shared" si="2"/>
        <v>4.3999999999999997E-2</v>
      </c>
      <c r="J37" s="16">
        <f>ROUND(G37/10890-1,2)</f>
        <v>0.19</v>
      </c>
    </row>
    <row r="38" spans="1:10" x14ac:dyDescent="0.25">
      <c r="A38" s="1" t="s">
        <v>49</v>
      </c>
      <c r="B38" s="1" t="s">
        <v>52</v>
      </c>
      <c r="C38" s="11"/>
      <c r="D38" s="11"/>
      <c r="E38" s="11"/>
      <c r="F38" s="11"/>
      <c r="G38" s="11">
        <f t="shared" si="0"/>
        <v>0</v>
      </c>
      <c r="H38" s="17">
        <f t="shared" si="1"/>
        <v>0</v>
      </c>
      <c r="I38" s="16">
        <f t="shared" si="2"/>
        <v>0</v>
      </c>
      <c r="J38" s="16"/>
    </row>
    <row r="39" spans="1:10" x14ac:dyDescent="0.25">
      <c r="A39" s="26" t="s">
        <v>12</v>
      </c>
      <c r="B39" s="26"/>
      <c r="C39" s="12">
        <f t="shared" ref="C39:H39" si="3">SUM(C8:C38)</f>
        <v>207650</v>
      </c>
      <c r="D39" s="12">
        <f t="shared" si="3"/>
        <v>0</v>
      </c>
      <c r="E39" s="12">
        <f t="shared" si="3"/>
        <v>71989</v>
      </c>
      <c r="F39" s="12">
        <f t="shared" si="3"/>
        <v>16600</v>
      </c>
      <c r="G39" s="12">
        <f t="shared" si="3"/>
        <v>296239</v>
      </c>
      <c r="H39" s="15">
        <f t="shared" si="3"/>
        <v>755.73</v>
      </c>
      <c r="I39" s="18"/>
      <c r="J39" s="18"/>
    </row>
    <row r="40" spans="1:10" x14ac:dyDescent="0.25">
      <c r="A40" s="26" t="s">
        <v>14</v>
      </c>
      <c r="B40" s="26"/>
      <c r="C40" s="13">
        <f>ROUND(C39/G39,2)</f>
        <v>0.7</v>
      </c>
      <c r="D40" s="13">
        <f>ROUND(D39/G39,2)</f>
        <v>0</v>
      </c>
      <c r="E40" s="13">
        <f>ROUND(E39/G39,2)</f>
        <v>0.24</v>
      </c>
      <c r="F40" s="13">
        <f>ROUND(F39/G39,2)</f>
        <v>0.06</v>
      </c>
      <c r="G40" s="14"/>
      <c r="H40" s="14"/>
      <c r="I40" s="18"/>
      <c r="J40" s="18"/>
    </row>
    <row r="41" spans="1:10" x14ac:dyDescent="0.25">
      <c r="A41" s="2" t="s">
        <v>53</v>
      </c>
      <c r="B41" s="2"/>
      <c r="C41" s="14"/>
      <c r="D41" s="14"/>
      <c r="E41" s="14"/>
      <c r="F41" s="14"/>
      <c r="G41" s="14"/>
      <c r="H41" s="14"/>
      <c r="I41" s="18"/>
      <c r="J41" s="18"/>
    </row>
    <row r="42" spans="1:10" x14ac:dyDescent="0.25">
      <c r="C42" s="9"/>
      <c r="D42" s="9"/>
      <c r="E42" s="9"/>
      <c r="F42" s="9"/>
      <c r="G42" s="9"/>
      <c r="H42" s="9"/>
      <c r="I42" s="10"/>
      <c r="J42" s="10"/>
    </row>
    <row r="43" spans="1:10" x14ac:dyDescent="0.25">
      <c r="C43" s="9"/>
      <c r="D43" s="9"/>
      <c r="E43" s="9"/>
      <c r="F43" s="9"/>
      <c r="G43" s="9"/>
      <c r="H43" s="9"/>
      <c r="I43" s="10"/>
      <c r="J43" s="10"/>
    </row>
    <row r="44" spans="1:10" x14ac:dyDescent="0.25">
      <c r="C44" s="9"/>
      <c r="D44" s="9"/>
      <c r="E44" s="9"/>
      <c r="F44" s="9"/>
      <c r="G44" s="9"/>
      <c r="H44" s="9"/>
      <c r="I44" s="10"/>
      <c r="J44" s="10"/>
    </row>
    <row r="45" spans="1:10" x14ac:dyDescent="0.25">
      <c r="A45" s="26" t="s">
        <v>54</v>
      </c>
      <c r="B45" s="26"/>
      <c r="C45" s="12" t="s">
        <v>8</v>
      </c>
      <c r="D45" s="12" t="s">
        <v>9</v>
      </c>
      <c r="E45" s="12" t="s">
        <v>10</v>
      </c>
      <c r="F45" s="12" t="s">
        <v>11</v>
      </c>
      <c r="G45" s="12" t="s">
        <v>12</v>
      </c>
      <c r="H45" s="15" t="s">
        <v>13</v>
      </c>
      <c r="I45" s="18"/>
      <c r="J45" s="18"/>
    </row>
    <row r="46" spans="1:10" x14ac:dyDescent="0.25">
      <c r="A46" s="21" t="s">
        <v>55</v>
      </c>
      <c r="B46" s="21"/>
      <c r="C46" s="11">
        <v>137950</v>
      </c>
      <c r="D46" s="11">
        <v>0</v>
      </c>
      <c r="E46" s="11">
        <v>59019</v>
      </c>
      <c r="F46" s="11">
        <v>0</v>
      </c>
      <c r="G46" s="11">
        <f>SUM(C46:F46)</f>
        <v>196969</v>
      </c>
      <c r="H46" s="17">
        <f>ROUND(G46/392,2)</f>
        <v>502.47</v>
      </c>
      <c r="I46" s="10"/>
      <c r="J46" s="10"/>
    </row>
    <row r="47" spans="1:10" x14ac:dyDescent="0.25">
      <c r="A47" s="21" t="s">
        <v>56</v>
      </c>
      <c r="B47" s="21"/>
      <c r="C47" s="11">
        <v>69700</v>
      </c>
      <c r="D47" s="11">
        <v>0</v>
      </c>
      <c r="E47" s="11">
        <v>12970</v>
      </c>
      <c r="F47" s="11">
        <v>16600</v>
      </c>
      <c r="G47" s="11">
        <f>SUM(C47:F47)</f>
        <v>99270</v>
      </c>
      <c r="H47" s="17">
        <f>ROUND(G47/392,2)</f>
        <v>253.24</v>
      </c>
      <c r="I47" s="10"/>
      <c r="J47" s="10"/>
    </row>
    <row r="48" spans="1:10" x14ac:dyDescent="0.25">
      <c r="A48" s="21" t="s">
        <v>57</v>
      </c>
      <c r="B48" s="21"/>
      <c r="C48" s="11">
        <v>0</v>
      </c>
      <c r="D48" s="11">
        <v>0</v>
      </c>
      <c r="E48" s="11">
        <v>0</v>
      </c>
      <c r="F48" s="11">
        <v>0</v>
      </c>
      <c r="G48" s="11">
        <f>SUM(C48:F48)</f>
        <v>0</v>
      </c>
      <c r="H48" s="17">
        <f>ROUND(G48/392,2)</f>
        <v>0</v>
      </c>
      <c r="I48" s="10"/>
      <c r="J48" s="10"/>
    </row>
    <row r="49" spans="1:10" x14ac:dyDescent="0.25">
      <c r="C49" s="9"/>
      <c r="D49" s="9"/>
      <c r="E49" s="9"/>
      <c r="F49" s="9"/>
      <c r="G49" s="9"/>
      <c r="H49" s="9"/>
      <c r="I49" s="10"/>
      <c r="J49" s="10"/>
    </row>
    <row r="50" spans="1:10" x14ac:dyDescent="0.25">
      <c r="C50" s="9"/>
      <c r="D50" s="9"/>
      <c r="E50" s="9"/>
      <c r="F50" s="9"/>
      <c r="G50" s="9"/>
      <c r="H50" s="9"/>
      <c r="I50" s="10"/>
      <c r="J50" s="10"/>
    </row>
    <row r="51" spans="1:10" x14ac:dyDescent="0.25">
      <c r="C51" s="9"/>
      <c r="D51" s="9"/>
      <c r="E51" s="9"/>
      <c r="F51" s="9"/>
      <c r="G51" s="9"/>
      <c r="H51" s="9"/>
      <c r="I51" s="10"/>
      <c r="J51" s="10"/>
    </row>
    <row r="52" spans="1:10" x14ac:dyDescent="0.25">
      <c r="C52" s="9"/>
      <c r="D52" s="9"/>
      <c r="E52" s="9"/>
      <c r="F52" s="9"/>
      <c r="G52" s="9"/>
      <c r="H52" s="9"/>
      <c r="I52" s="10"/>
      <c r="J52" s="10"/>
    </row>
    <row r="53" spans="1:10" x14ac:dyDescent="0.25">
      <c r="A53" s="26" t="s">
        <v>58</v>
      </c>
      <c r="B53" s="26"/>
      <c r="C53" s="15" t="s">
        <v>2</v>
      </c>
      <c r="D53" s="15">
        <v>2024</v>
      </c>
      <c r="E53" s="15" t="s">
        <v>60</v>
      </c>
      <c r="F53" s="14"/>
      <c r="G53" s="15" t="s">
        <v>61</v>
      </c>
      <c r="H53" s="15" t="s">
        <v>2</v>
      </c>
      <c r="I53" s="13" t="s">
        <v>62</v>
      </c>
      <c r="J53" s="13" t="s">
        <v>60</v>
      </c>
    </row>
    <row r="54" spans="1:10" x14ac:dyDescent="0.25">
      <c r="A54" s="21" t="s">
        <v>59</v>
      </c>
      <c r="B54" s="21"/>
      <c r="C54" s="16">
        <f>ROUND(0.7498, 4)</f>
        <v>0.74980000000000002</v>
      </c>
      <c r="D54" s="16">
        <f>ROUND(0.7324, 4)</f>
        <v>0.73240000000000005</v>
      </c>
      <c r="E54" s="16">
        <f>ROUND(0.7856, 4)</f>
        <v>0.78559999999999997</v>
      </c>
      <c r="F54" s="9"/>
      <c r="G54" s="15" t="s">
        <v>63</v>
      </c>
      <c r="H54" s="27" t="s">
        <v>64</v>
      </c>
      <c r="I54" s="24" t="s">
        <v>65</v>
      </c>
      <c r="J54" s="24" t="s">
        <v>66</v>
      </c>
    </row>
    <row r="55" spans="1:10" x14ac:dyDescent="0.25">
      <c r="A55" s="21" t="s">
        <v>67</v>
      </c>
      <c r="B55" s="21"/>
      <c r="C55" s="16">
        <f>ROUND(0.7498, 4)</f>
        <v>0.74980000000000002</v>
      </c>
      <c r="D55" s="16">
        <f>ROUND(0.696, 4)</f>
        <v>0.69599999999999995</v>
      </c>
      <c r="E55" s="16">
        <f>ROUND(0.7702, 4)</f>
        <v>0.7702</v>
      </c>
      <c r="F55" s="9"/>
      <c r="G55" s="15" t="s">
        <v>68</v>
      </c>
      <c r="H55" s="28"/>
      <c r="I55" s="25"/>
      <c r="J55" s="25"/>
    </row>
    <row r="56" spans="1:10" x14ac:dyDescent="0.25">
      <c r="C56" s="9"/>
      <c r="D56" s="9"/>
      <c r="E56" s="9"/>
      <c r="F56" s="9"/>
      <c r="G56" s="9"/>
      <c r="H56" s="9"/>
      <c r="I56" s="10"/>
      <c r="J56" s="10"/>
    </row>
    <row r="57" spans="1:10" x14ac:dyDescent="0.25">
      <c r="C57" s="9"/>
      <c r="D57" s="9"/>
      <c r="E57" s="9"/>
      <c r="F57" s="9"/>
      <c r="G57" s="9"/>
      <c r="H57" s="9"/>
      <c r="I57" s="10"/>
      <c r="J57" s="10"/>
    </row>
    <row r="58" spans="1:10" x14ac:dyDescent="0.25">
      <c r="C58" s="9"/>
      <c r="D58" s="9"/>
      <c r="E58" s="9"/>
      <c r="F58" s="9"/>
      <c r="G58" s="9"/>
      <c r="H58" s="9"/>
      <c r="I58" s="10"/>
      <c r="J58" s="10"/>
    </row>
    <row r="59" spans="1:10" x14ac:dyDescent="0.25">
      <c r="A59" s="26" t="s">
        <v>69</v>
      </c>
      <c r="B59" s="26"/>
      <c r="C59" s="15" t="s">
        <v>2</v>
      </c>
      <c r="D59" s="15" t="s">
        <v>314</v>
      </c>
      <c r="E59" s="15" t="s">
        <v>71</v>
      </c>
      <c r="F59" s="15" t="s">
        <v>72</v>
      </c>
      <c r="G59" s="15" t="s">
        <v>73</v>
      </c>
      <c r="H59" s="14"/>
      <c r="I59" s="18"/>
      <c r="J59" s="18"/>
    </row>
    <row r="60" spans="1:10" x14ac:dyDescent="0.25">
      <c r="A60" s="21" t="s">
        <v>74</v>
      </c>
      <c r="B60" s="21"/>
      <c r="C60" s="17">
        <v>177.81</v>
      </c>
      <c r="D60" s="17">
        <v>187.43</v>
      </c>
      <c r="E60" s="17">
        <v>96.15</v>
      </c>
      <c r="F60" s="17">
        <v>57.94</v>
      </c>
      <c r="G60" s="17">
        <f>12/12*C60</f>
        <v>177.81</v>
      </c>
      <c r="H60" s="9"/>
      <c r="I60" s="10"/>
      <c r="J60" s="10"/>
    </row>
    <row r="61" spans="1:10" x14ac:dyDescent="0.25">
      <c r="A61" s="21" t="s">
        <v>75</v>
      </c>
      <c r="B61" s="21"/>
      <c r="C61" s="17">
        <v>98.9</v>
      </c>
      <c r="D61" s="17">
        <v>98.19</v>
      </c>
      <c r="E61" s="17">
        <v>62.28</v>
      </c>
      <c r="F61" s="17">
        <v>66.599999999999994</v>
      </c>
      <c r="G61" s="17">
        <f>12/12*C61</f>
        <v>98.9</v>
      </c>
      <c r="H61" s="9"/>
      <c r="I61" s="10"/>
      <c r="J61" s="10"/>
    </row>
    <row r="62" spans="1:10" x14ac:dyDescent="0.25">
      <c r="A62" s="21" t="s">
        <v>76</v>
      </c>
      <c r="B62" s="21"/>
      <c r="C62" s="17">
        <v>502.47</v>
      </c>
      <c r="D62" s="17">
        <v>506.19</v>
      </c>
      <c r="E62" s="17">
        <v>300.02</v>
      </c>
      <c r="F62" s="17">
        <v>295.08</v>
      </c>
      <c r="G62" s="17">
        <f>12/12*C62</f>
        <v>502.47</v>
      </c>
      <c r="H62" s="9"/>
      <c r="I62" s="10"/>
      <c r="J62" s="10"/>
    </row>
    <row r="63" spans="1:10" x14ac:dyDescent="0.25">
      <c r="A63" s="21" t="s">
        <v>77</v>
      </c>
      <c r="B63" s="21"/>
      <c r="C63" s="17">
        <v>253.24</v>
      </c>
      <c r="D63" s="17">
        <v>248.79</v>
      </c>
      <c r="E63" s="17">
        <v>120.96</v>
      </c>
      <c r="F63" s="17">
        <v>83.12</v>
      </c>
      <c r="G63" s="17">
        <f>12/12*C63</f>
        <v>253.24</v>
      </c>
      <c r="H63" s="9"/>
      <c r="I63" s="10"/>
      <c r="J63" s="10"/>
    </row>
    <row r="64" spans="1:10" x14ac:dyDescent="0.25">
      <c r="C64" s="9"/>
      <c r="D64" s="9"/>
      <c r="E64" s="9"/>
      <c r="F64" s="9"/>
      <c r="G64" s="9"/>
      <c r="H64" s="9"/>
      <c r="I64" s="10"/>
      <c r="J64" s="10"/>
    </row>
    <row r="65" spans="1:10" x14ac:dyDescent="0.25">
      <c r="C65" s="9"/>
      <c r="D65" s="9"/>
      <c r="E65" s="9"/>
      <c r="F65" s="9"/>
      <c r="G65" s="9"/>
      <c r="H65" s="9"/>
      <c r="I65" s="10"/>
      <c r="J65" s="10"/>
    </row>
    <row r="66" spans="1:10" x14ac:dyDescent="0.25">
      <c r="A66" s="22" t="s">
        <v>61</v>
      </c>
      <c r="B66" s="23"/>
      <c r="C66" s="9"/>
      <c r="D66" s="9"/>
      <c r="E66" s="9"/>
      <c r="F66" s="9"/>
      <c r="G66" s="9"/>
      <c r="H66" s="9"/>
      <c r="I66" s="10"/>
      <c r="J66" s="10"/>
    </row>
    <row r="67" spans="1:10" x14ac:dyDescent="0.25">
      <c r="A67" s="3" t="s">
        <v>78</v>
      </c>
      <c r="B67" s="1" t="s">
        <v>315</v>
      </c>
      <c r="C67" s="9"/>
      <c r="D67" s="9"/>
      <c r="E67" s="9"/>
      <c r="F67" s="9"/>
      <c r="G67" s="9"/>
      <c r="H67" s="9"/>
      <c r="I67" s="10"/>
      <c r="J67" s="10"/>
    </row>
    <row r="68" spans="1:10" x14ac:dyDescent="0.25">
      <c r="A68" s="3" t="s">
        <v>71</v>
      </c>
      <c r="B68" s="1" t="s">
        <v>80</v>
      </c>
      <c r="C68" s="9"/>
      <c r="D68" s="9"/>
      <c r="E68" s="9"/>
      <c r="F68" s="9"/>
      <c r="G68" s="9"/>
      <c r="H68" s="9"/>
      <c r="I68" s="10"/>
      <c r="J68" s="10"/>
    </row>
    <row r="69" spans="1:10" x14ac:dyDescent="0.25">
      <c r="A69" s="3" t="s">
        <v>72</v>
      </c>
      <c r="B69" s="1" t="s">
        <v>81</v>
      </c>
      <c r="C69" s="9"/>
      <c r="D69" s="9"/>
      <c r="E69" s="9"/>
      <c r="F69" s="9"/>
      <c r="G69" s="9"/>
      <c r="H69" s="9"/>
      <c r="I69" s="10"/>
      <c r="J69" s="10"/>
    </row>
    <row r="70" spans="1:10" x14ac:dyDescent="0.25">
      <c r="A70" s="3" t="s">
        <v>73</v>
      </c>
      <c r="B70" s="1" t="s">
        <v>82</v>
      </c>
      <c r="C70" s="9"/>
      <c r="D70" s="9"/>
      <c r="E70" s="9"/>
      <c r="F70" s="9"/>
      <c r="G70" s="9"/>
      <c r="H70" s="9"/>
      <c r="I70" s="10"/>
      <c r="J70" s="10"/>
    </row>
    <row r="71" spans="1:10" x14ac:dyDescent="0.25">
      <c r="C71" s="9"/>
      <c r="D71" s="9"/>
      <c r="E71" s="9"/>
      <c r="F71" s="9"/>
      <c r="G71" s="9"/>
      <c r="H71" s="9"/>
      <c r="I71" s="10"/>
      <c r="J71" s="10"/>
    </row>
    <row r="72" spans="1:10" x14ac:dyDescent="0.25">
      <c r="C72" s="9"/>
      <c r="D72" s="9"/>
      <c r="E72" s="9"/>
      <c r="F72" s="9"/>
      <c r="G72" s="9"/>
      <c r="H72" s="9"/>
      <c r="I72" s="10"/>
      <c r="J72" s="10"/>
    </row>
    <row r="73" spans="1:10" x14ac:dyDescent="0.25">
      <c r="C73" s="9"/>
      <c r="D73" s="9"/>
      <c r="E73" s="9"/>
      <c r="F73" s="9"/>
      <c r="G73" s="9"/>
      <c r="H73" s="9"/>
      <c r="I73" s="10"/>
      <c r="J73" s="10"/>
    </row>
    <row r="74" spans="1:10" x14ac:dyDescent="0.25">
      <c r="C74" s="9"/>
      <c r="D74" s="9"/>
      <c r="E74" s="9"/>
      <c r="F74" s="9"/>
      <c r="G74" s="9"/>
      <c r="H74" s="9"/>
      <c r="I74" s="10"/>
      <c r="J74" s="10"/>
    </row>
  </sheetData>
  <mergeCells count="19">
    <mergeCell ref="C7:G7"/>
    <mergeCell ref="A39:B39"/>
    <mergeCell ref="A40:B40"/>
    <mergeCell ref="A45:B45"/>
    <mergeCell ref="A46:B46"/>
    <mergeCell ref="J54:J55"/>
    <mergeCell ref="A55:B55"/>
    <mergeCell ref="A59:B59"/>
    <mergeCell ref="A60:B60"/>
    <mergeCell ref="A47:B47"/>
    <mergeCell ref="A48:B48"/>
    <mergeCell ref="A53:B53"/>
    <mergeCell ref="A54:B54"/>
    <mergeCell ref="H54:H55"/>
    <mergeCell ref="A61:B61"/>
    <mergeCell ref="A62:B62"/>
    <mergeCell ref="A63:B63"/>
    <mergeCell ref="A66:B66"/>
    <mergeCell ref="I54:I55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2:J74"/>
  <sheetViews>
    <sheetView workbookViewId="0">
      <selection activeCell="H5" sqref="H5"/>
    </sheetView>
  </sheetViews>
  <sheetFormatPr defaultRowHeight="15" x14ac:dyDescent="0.25"/>
  <cols>
    <col min="1" max="1" width="28.42578125" bestFit="1" customWidth="1"/>
    <col min="2" max="2" width="59.5703125" bestFit="1" customWidth="1"/>
    <col min="3" max="3" width="12.7109375" bestFit="1" customWidth="1"/>
    <col min="4" max="4" width="25.85546875" bestFit="1" customWidth="1"/>
    <col min="5" max="5" width="13.85546875" bestFit="1" customWidth="1"/>
    <col min="6" max="6" width="8.5703125" bestFit="1" customWidth="1"/>
    <col min="7" max="7" width="47.7109375" bestFit="1" customWidth="1"/>
    <col min="8" max="9" width="16.7109375" bestFit="1" customWidth="1"/>
    <col min="10" max="10" width="24.42578125" bestFit="1" customWidth="1"/>
  </cols>
  <sheetData>
    <row r="2" spans="1:10" ht="18.75" x14ac:dyDescent="0.3">
      <c r="A2" s="3" t="s">
        <v>0</v>
      </c>
      <c r="B2" s="4" t="s">
        <v>316</v>
      </c>
    </row>
    <row r="3" spans="1:10" x14ac:dyDescent="0.25">
      <c r="A3" s="3" t="s">
        <v>2</v>
      </c>
      <c r="B3" s="1" t="s">
        <v>3</v>
      </c>
    </row>
    <row r="4" spans="1:10" x14ac:dyDescent="0.25">
      <c r="A4" s="3" t="s">
        <v>4</v>
      </c>
      <c r="B4" s="20">
        <v>3688</v>
      </c>
    </row>
    <row r="7" spans="1:10" x14ac:dyDescent="0.25">
      <c r="C7" s="22" t="s">
        <v>5</v>
      </c>
      <c r="D7" s="21"/>
      <c r="E7" s="21"/>
      <c r="F7" s="21"/>
      <c r="G7" s="21"/>
    </row>
    <row r="8" spans="1:10" x14ac:dyDescent="0.25">
      <c r="A8" s="3" t="s">
        <v>6</v>
      </c>
      <c r="B8" s="3" t="s">
        <v>7</v>
      </c>
      <c r="C8" s="15" t="s">
        <v>8</v>
      </c>
      <c r="D8" s="15" t="s">
        <v>9</v>
      </c>
      <c r="E8" s="15" t="s">
        <v>10</v>
      </c>
      <c r="F8" s="15" t="s">
        <v>11</v>
      </c>
      <c r="G8" s="15" t="s">
        <v>12</v>
      </c>
      <c r="H8" s="15" t="s">
        <v>13</v>
      </c>
      <c r="I8" s="15" t="s">
        <v>14</v>
      </c>
      <c r="J8" s="15" t="s">
        <v>15</v>
      </c>
    </row>
    <row r="9" spans="1:10" x14ac:dyDescent="0.25">
      <c r="A9" s="1" t="s">
        <v>16</v>
      </c>
      <c r="B9" s="1" t="s">
        <v>17</v>
      </c>
      <c r="C9" s="11"/>
      <c r="D9" s="11"/>
      <c r="E9" s="11">
        <v>33</v>
      </c>
      <c r="F9" s="11"/>
      <c r="G9" s="11">
        <f t="shared" ref="G9:G42" si="0">SUM(C9:F9)</f>
        <v>33</v>
      </c>
      <c r="H9" s="17">
        <f t="shared" ref="H9:H42" si="1">ROUND(G9/3688,2)</f>
        <v>0.01</v>
      </c>
      <c r="I9" s="16">
        <f t="shared" ref="I9:I42" si="2">ROUND(G9/$G$43,3)</f>
        <v>0</v>
      </c>
      <c r="J9" s="16">
        <f>ROUND(G9/41-1,2)</f>
        <v>-0.2</v>
      </c>
    </row>
    <row r="10" spans="1:10" x14ac:dyDescent="0.25">
      <c r="A10" s="1" t="s">
        <v>16</v>
      </c>
      <c r="B10" s="1" t="s">
        <v>19</v>
      </c>
      <c r="C10" s="11">
        <v>128160</v>
      </c>
      <c r="D10" s="11"/>
      <c r="E10" s="11">
        <v>1060</v>
      </c>
      <c r="F10" s="11">
        <v>480</v>
      </c>
      <c r="G10" s="11">
        <f t="shared" si="0"/>
        <v>129700</v>
      </c>
      <c r="H10" s="17">
        <f t="shared" si="1"/>
        <v>35.17</v>
      </c>
      <c r="I10" s="16">
        <f t="shared" si="2"/>
        <v>0.106</v>
      </c>
      <c r="J10" s="16">
        <f>ROUND(G10/135080-1,2)</f>
        <v>-0.04</v>
      </c>
    </row>
    <row r="11" spans="1:10" x14ac:dyDescent="0.25">
      <c r="A11" s="1" t="s">
        <v>16</v>
      </c>
      <c r="B11" s="1" t="s">
        <v>20</v>
      </c>
      <c r="C11" s="11">
        <v>138880</v>
      </c>
      <c r="D11" s="11"/>
      <c r="E11" s="11"/>
      <c r="F11" s="11"/>
      <c r="G11" s="11">
        <f t="shared" si="0"/>
        <v>138880</v>
      </c>
      <c r="H11" s="17">
        <f t="shared" si="1"/>
        <v>37.659999999999997</v>
      </c>
      <c r="I11" s="16">
        <f t="shared" si="2"/>
        <v>0.113</v>
      </c>
      <c r="J11" s="16">
        <f>ROUND(G11/136320-1,2)</f>
        <v>0.02</v>
      </c>
    </row>
    <row r="12" spans="1:10" x14ac:dyDescent="0.25">
      <c r="A12" s="1" t="s">
        <v>16</v>
      </c>
      <c r="B12" s="1" t="s">
        <v>87</v>
      </c>
      <c r="C12" s="11"/>
      <c r="D12" s="11"/>
      <c r="E12" s="11">
        <v>54</v>
      </c>
      <c r="F12" s="11"/>
      <c r="G12" s="11">
        <f t="shared" si="0"/>
        <v>54</v>
      </c>
      <c r="H12" s="17">
        <f t="shared" si="1"/>
        <v>0.01</v>
      </c>
      <c r="I12" s="16">
        <f t="shared" si="2"/>
        <v>0</v>
      </c>
      <c r="J12" s="16">
        <f>ROUND(G12/56-1,2)</f>
        <v>-0.04</v>
      </c>
    </row>
    <row r="13" spans="1:10" x14ac:dyDescent="0.25">
      <c r="A13" s="1" t="s">
        <v>16</v>
      </c>
      <c r="B13" s="1" t="s">
        <v>21</v>
      </c>
      <c r="C13" s="11"/>
      <c r="D13" s="11"/>
      <c r="E13" s="11">
        <v>185</v>
      </c>
      <c r="F13" s="11"/>
      <c r="G13" s="11">
        <f t="shared" si="0"/>
        <v>185</v>
      </c>
      <c r="H13" s="17">
        <f t="shared" si="1"/>
        <v>0.05</v>
      </c>
      <c r="I13" s="16">
        <f t="shared" si="2"/>
        <v>0</v>
      </c>
      <c r="J13" s="16">
        <f>ROUND(G13/167-1,2)</f>
        <v>0.11</v>
      </c>
    </row>
    <row r="14" spans="1:10" x14ac:dyDescent="0.25">
      <c r="A14" s="1" t="s">
        <v>16</v>
      </c>
      <c r="B14" s="1" t="s">
        <v>96</v>
      </c>
      <c r="C14" s="11"/>
      <c r="D14" s="11"/>
      <c r="E14" s="11"/>
      <c r="F14" s="11">
        <v>50</v>
      </c>
      <c r="G14" s="11">
        <f t="shared" si="0"/>
        <v>50</v>
      </c>
      <c r="H14" s="17">
        <f t="shared" si="1"/>
        <v>0.01</v>
      </c>
      <c r="I14" s="16">
        <f t="shared" si="2"/>
        <v>0</v>
      </c>
      <c r="J14" s="16"/>
    </row>
    <row r="15" spans="1:10" x14ac:dyDescent="0.25">
      <c r="A15" s="1" t="s">
        <v>16</v>
      </c>
      <c r="B15" s="1" t="s">
        <v>23</v>
      </c>
      <c r="C15" s="11"/>
      <c r="D15" s="11"/>
      <c r="E15" s="11">
        <v>65380</v>
      </c>
      <c r="F15" s="11"/>
      <c r="G15" s="11">
        <f t="shared" si="0"/>
        <v>65380</v>
      </c>
      <c r="H15" s="17">
        <f t="shared" si="1"/>
        <v>17.73</v>
      </c>
      <c r="I15" s="16">
        <f t="shared" si="2"/>
        <v>5.2999999999999999E-2</v>
      </c>
      <c r="J15" s="16">
        <f>ROUND(G15/45740-1,2)</f>
        <v>0.43</v>
      </c>
    </row>
    <row r="16" spans="1:10" x14ac:dyDescent="0.25">
      <c r="A16" s="1" t="s">
        <v>16</v>
      </c>
      <c r="B16" s="1" t="s">
        <v>24</v>
      </c>
      <c r="C16" s="11">
        <v>172150</v>
      </c>
      <c r="D16" s="11"/>
      <c r="E16" s="11">
        <v>9160</v>
      </c>
      <c r="F16" s="11"/>
      <c r="G16" s="11">
        <f t="shared" si="0"/>
        <v>181310</v>
      </c>
      <c r="H16" s="17">
        <f t="shared" si="1"/>
        <v>49.16</v>
      </c>
      <c r="I16" s="16">
        <f t="shared" si="2"/>
        <v>0.14799999999999999</v>
      </c>
      <c r="J16" s="16">
        <f>ROUND(G16/179280-1,2)</f>
        <v>0.01</v>
      </c>
    </row>
    <row r="17" spans="1:10" x14ac:dyDescent="0.25">
      <c r="A17" s="1" t="s">
        <v>16</v>
      </c>
      <c r="B17" s="1" t="s">
        <v>25</v>
      </c>
      <c r="C17" s="11"/>
      <c r="D17" s="11"/>
      <c r="E17" s="11">
        <v>2120</v>
      </c>
      <c r="F17" s="11"/>
      <c r="G17" s="11">
        <f t="shared" si="0"/>
        <v>2120</v>
      </c>
      <c r="H17" s="17">
        <f t="shared" si="1"/>
        <v>0.56999999999999995</v>
      </c>
      <c r="I17" s="16">
        <f t="shared" si="2"/>
        <v>2E-3</v>
      </c>
      <c r="J17" s="16">
        <f>ROUND(G17/1750-1,2)</f>
        <v>0.21</v>
      </c>
    </row>
    <row r="18" spans="1:10" x14ac:dyDescent="0.25">
      <c r="A18" s="1" t="s">
        <v>16</v>
      </c>
      <c r="B18" s="1" t="s">
        <v>26</v>
      </c>
      <c r="C18" s="11">
        <v>182620</v>
      </c>
      <c r="D18" s="11"/>
      <c r="E18" s="11"/>
      <c r="F18" s="11">
        <v>1180</v>
      </c>
      <c r="G18" s="11">
        <f t="shared" si="0"/>
        <v>183800</v>
      </c>
      <c r="H18" s="17">
        <f t="shared" si="1"/>
        <v>49.84</v>
      </c>
      <c r="I18" s="16">
        <f t="shared" si="2"/>
        <v>0.15</v>
      </c>
      <c r="J18" s="16">
        <f>ROUND(G18/179700-1,2)</f>
        <v>0.02</v>
      </c>
    </row>
    <row r="19" spans="1:10" x14ac:dyDescent="0.25">
      <c r="A19" s="1" t="s">
        <v>16</v>
      </c>
      <c r="B19" s="1" t="s">
        <v>27</v>
      </c>
      <c r="C19" s="11"/>
      <c r="D19" s="11"/>
      <c r="E19" s="11">
        <v>866</v>
      </c>
      <c r="F19" s="11"/>
      <c r="G19" s="11">
        <f t="shared" si="0"/>
        <v>866</v>
      </c>
      <c r="H19" s="17">
        <f t="shared" si="1"/>
        <v>0.23</v>
      </c>
      <c r="I19" s="16">
        <f t="shared" si="2"/>
        <v>1E-3</v>
      </c>
      <c r="J19" s="16">
        <f>ROUND(G19/392-1,2)</f>
        <v>1.21</v>
      </c>
    </row>
    <row r="20" spans="1:10" x14ac:dyDescent="0.25">
      <c r="A20" s="1" t="s">
        <v>16</v>
      </c>
      <c r="B20" s="1" t="s">
        <v>28</v>
      </c>
      <c r="C20" s="11"/>
      <c r="D20" s="11"/>
      <c r="E20" s="11">
        <v>806</v>
      </c>
      <c r="F20" s="11"/>
      <c r="G20" s="11">
        <f t="shared" si="0"/>
        <v>806</v>
      </c>
      <c r="H20" s="17">
        <f t="shared" si="1"/>
        <v>0.22</v>
      </c>
      <c r="I20" s="16">
        <f t="shared" si="2"/>
        <v>1E-3</v>
      </c>
      <c r="J20" s="16">
        <f>ROUND(G20/369-1,2)</f>
        <v>1.18</v>
      </c>
    </row>
    <row r="21" spans="1:10" x14ac:dyDescent="0.25">
      <c r="A21" s="1" t="s">
        <v>16</v>
      </c>
      <c r="B21" s="1" t="s">
        <v>29</v>
      </c>
      <c r="C21" s="11"/>
      <c r="D21" s="11"/>
      <c r="E21" s="11">
        <v>30</v>
      </c>
      <c r="F21" s="11"/>
      <c r="G21" s="11">
        <f t="shared" si="0"/>
        <v>30</v>
      </c>
      <c r="H21" s="17">
        <f t="shared" si="1"/>
        <v>0.01</v>
      </c>
      <c r="I21" s="16">
        <f t="shared" si="2"/>
        <v>0</v>
      </c>
      <c r="J21" s="16">
        <f>ROUND(G21/164-1,2)</f>
        <v>-0.82</v>
      </c>
    </row>
    <row r="22" spans="1:10" x14ac:dyDescent="0.25">
      <c r="A22" s="1" t="s">
        <v>16</v>
      </c>
      <c r="B22" s="1" t="s">
        <v>30</v>
      </c>
      <c r="C22" s="11"/>
      <c r="D22" s="11"/>
      <c r="E22" s="11">
        <v>6970</v>
      </c>
      <c r="F22" s="11"/>
      <c r="G22" s="11">
        <f t="shared" si="0"/>
        <v>6970</v>
      </c>
      <c r="H22" s="17">
        <f t="shared" si="1"/>
        <v>1.89</v>
      </c>
      <c r="I22" s="16">
        <f t="shared" si="2"/>
        <v>6.0000000000000001E-3</v>
      </c>
      <c r="J22" s="16">
        <f>ROUND(G22/10020-1,2)</f>
        <v>-0.3</v>
      </c>
    </row>
    <row r="23" spans="1:10" x14ac:dyDescent="0.25">
      <c r="A23" s="1" t="s">
        <v>16</v>
      </c>
      <c r="B23" s="1" t="s">
        <v>31</v>
      </c>
      <c r="C23" s="11"/>
      <c r="D23" s="11"/>
      <c r="E23" s="11">
        <v>900</v>
      </c>
      <c r="F23" s="11"/>
      <c r="G23" s="11">
        <f t="shared" si="0"/>
        <v>900</v>
      </c>
      <c r="H23" s="17">
        <f t="shared" si="1"/>
        <v>0.24</v>
      </c>
      <c r="I23" s="16">
        <f t="shared" si="2"/>
        <v>1E-3</v>
      </c>
      <c r="J23" s="16">
        <f>ROUND(G23/1300-1,2)</f>
        <v>-0.31</v>
      </c>
    </row>
    <row r="24" spans="1:10" x14ac:dyDescent="0.25">
      <c r="A24" s="1" t="s">
        <v>16</v>
      </c>
      <c r="B24" s="1" t="s">
        <v>33</v>
      </c>
      <c r="C24" s="11"/>
      <c r="D24" s="11"/>
      <c r="E24" s="11">
        <v>917</v>
      </c>
      <c r="F24" s="11"/>
      <c r="G24" s="11">
        <f t="shared" si="0"/>
        <v>917</v>
      </c>
      <c r="H24" s="17">
        <f t="shared" si="1"/>
        <v>0.25</v>
      </c>
      <c r="I24" s="16">
        <f t="shared" si="2"/>
        <v>1E-3</v>
      </c>
      <c r="J24" s="16">
        <f>ROUND(G24/3000-1,2)</f>
        <v>-0.69</v>
      </c>
    </row>
    <row r="25" spans="1:10" x14ac:dyDescent="0.25">
      <c r="A25" s="1" t="s">
        <v>16</v>
      </c>
      <c r="B25" s="1" t="s">
        <v>34</v>
      </c>
      <c r="C25" s="11"/>
      <c r="D25" s="11">
        <v>160</v>
      </c>
      <c r="E25" s="11">
        <v>356</v>
      </c>
      <c r="F25" s="11"/>
      <c r="G25" s="11">
        <f t="shared" si="0"/>
        <v>516</v>
      </c>
      <c r="H25" s="17">
        <f t="shared" si="1"/>
        <v>0.14000000000000001</v>
      </c>
      <c r="I25" s="16">
        <f t="shared" si="2"/>
        <v>0</v>
      </c>
      <c r="J25" s="16">
        <f>ROUND(G25/452-1,2)</f>
        <v>0.14000000000000001</v>
      </c>
    </row>
    <row r="26" spans="1:10" x14ac:dyDescent="0.25">
      <c r="A26" s="1" t="s">
        <v>16</v>
      </c>
      <c r="B26" s="1" t="s">
        <v>35</v>
      </c>
      <c r="C26" s="11"/>
      <c r="D26" s="11">
        <v>50</v>
      </c>
      <c r="E26" s="11">
        <v>2010</v>
      </c>
      <c r="F26" s="11"/>
      <c r="G26" s="11">
        <f t="shared" si="0"/>
        <v>2060</v>
      </c>
      <c r="H26" s="17">
        <f t="shared" si="1"/>
        <v>0.56000000000000005</v>
      </c>
      <c r="I26" s="16">
        <f t="shared" si="2"/>
        <v>2E-3</v>
      </c>
      <c r="J26" s="16">
        <f>ROUND(G26/1740-1,2)</f>
        <v>0.18</v>
      </c>
    </row>
    <row r="27" spans="1:10" x14ac:dyDescent="0.25">
      <c r="A27" s="1" t="s">
        <v>16</v>
      </c>
      <c r="B27" s="1" t="s">
        <v>37</v>
      </c>
      <c r="C27" s="11"/>
      <c r="D27" s="11"/>
      <c r="E27" s="11">
        <v>2190</v>
      </c>
      <c r="F27" s="11"/>
      <c r="G27" s="11">
        <f t="shared" si="0"/>
        <v>2190</v>
      </c>
      <c r="H27" s="17">
        <f t="shared" si="1"/>
        <v>0.59</v>
      </c>
      <c r="I27" s="16">
        <f t="shared" si="2"/>
        <v>2E-3</v>
      </c>
      <c r="J27" s="16">
        <f>ROUND(G27/4120-1,2)</f>
        <v>-0.47</v>
      </c>
    </row>
    <row r="28" spans="1:10" x14ac:dyDescent="0.25">
      <c r="A28" s="1" t="s">
        <v>16</v>
      </c>
      <c r="B28" s="1" t="s">
        <v>39</v>
      </c>
      <c r="C28" s="11"/>
      <c r="D28" s="11"/>
      <c r="E28" s="11">
        <v>11650</v>
      </c>
      <c r="F28" s="11"/>
      <c r="G28" s="11">
        <f t="shared" si="0"/>
        <v>11650</v>
      </c>
      <c r="H28" s="17">
        <f t="shared" si="1"/>
        <v>3.16</v>
      </c>
      <c r="I28" s="16">
        <f t="shared" si="2"/>
        <v>0.01</v>
      </c>
      <c r="J28" s="16">
        <f>ROUND(G28/8215-1,2)</f>
        <v>0.42</v>
      </c>
    </row>
    <row r="29" spans="1:10" x14ac:dyDescent="0.25">
      <c r="A29" s="1" t="s">
        <v>16</v>
      </c>
      <c r="B29" s="1" t="s">
        <v>38</v>
      </c>
      <c r="C29" s="11"/>
      <c r="D29" s="11"/>
      <c r="E29" s="11">
        <v>4980</v>
      </c>
      <c r="F29" s="11"/>
      <c r="G29" s="11">
        <f t="shared" si="0"/>
        <v>4980</v>
      </c>
      <c r="H29" s="17">
        <f t="shared" si="1"/>
        <v>1.35</v>
      </c>
      <c r="I29" s="16">
        <f t="shared" si="2"/>
        <v>4.0000000000000001E-3</v>
      </c>
      <c r="J29" s="16">
        <f>ROUND(G29/16970-1,2)</f>
        <v>-0.71</v>
      </c>
    </row>
    <row r="30" spans="1:10" x14ac:dyDescent="0.25">
      <c r="A30" s="1" t="s">
        <v>16</v>
      </c>
      <c r="B30" s="1" t="s">
        <v>40</v>
      </c>
      <c r="C30" s="11"/>
      <c r="D30" s="11"/>
      <c r="E30" s="11">
        <v>80830</v>
      </c>
      <c r="F30" s="11"/>
      <c r="G30" s="11">
        <f t="shared" si="0"/>
        <v>80830</v>
      </c>
      <c r="H30" s="17">
        <f t="shared" si="1"/>
        <v>21.92</v>
      </c>
      <c r="I30" s="16">
        <f t="shared" si="2"/>
        <v>6.6000000000000003E-2</v>
      </c>
      <c r="J30" s="16">
        <f>ROUND(G30/79120-1,2)</f>
        <v>0.02</v>
      </c>
    </row>
    <row r="31" spans="1:10" x14ac:dyDescent="0.25">
      <c r="A31" s="1" t="s">
        <v>16</v>
      </c>
      <c r="B31" s="1" t="s">
        <v>41</v>
      </c>
      <c r="C31" s="11"/>
      <c r="D31" s="11"/>
      <c r="E31" s="11">
        <v>7590</v>
      </c>
      <c r="F31" s="11"/>
      <c r="G31" s="11">
        <f t="shared" si="0"/>
        <v>7590</v>
      </c>
      <c r="H31" s="17">
        <f t="shared" si="1"/>
        <v>2.06</v>
      </c>
      <c r="I31" s="16">
        <f t="shared" si="2"/>
        <v>6.0000000000000001E-3</v>
      </c>
      <c r="J31" s="16">
        <f>ROUND(G31/6450-1,2)</f>
        <v>0.18</v>
      </c>
    </row>
    <row r="32" spans="1:10" x14ac:dyDescent="0.25">
      <c r="A32" s="1" t="s">
        <v>16</v>
      </c>
      <c r="B32" s="1" t="s">
        <v>42</v>
      </c>
      <c r="C32" s="11"/>
      <c r="D32" s="11"/>
      <c r="E32" s="11">
        <v>34020</v>
      </c>
      <c r="F32" s="11"/>
      <c r="G32" s="11">
        <f t="shared" si="0"/>
        <v>34020</v>
      </c>
      <c r="H32" s="17">
        <f t="shared" si="1"/>
        <v>9.2200000000000006</v>
      </c>
      <c r="I32" s="16">
        <f t="shared" si="2"/>
        <v>2.8000000000000001E-2</v>
      </c>
      <c r="J32" s="16">
        <f>ROUND(G32/28170-1,2)</f>
        <v>0.21</v>
      </c>
    </row>
    <row r="33" spans="1:10" x14ac:dyDescent="0.25">
      <c r="A33" s="1" t="s">
        <v>16</v>
      </c>
      <c r="B33" s="1" t="s">
        <v>44</v>
      </c>
      <c r="C33" s="11"/>
      <c r="D33" s="11"/>
      <c r="E33" s="11">
        <v>53720</v>
      </c>
      <c r="F33" s="11"/>
      <c r="G33" s="11">
        <f t="shared" si="0"/>
        <v>53720</v>
      </c>
      <c r="H33" s="17">
        <f t="shared" si="1"/>
        <v>14.57</v>
      </c>
      <c r="I33" s="16">
        <f t="shared" si="2"/>
        <v>4.3999999999999997E-2</v>
      </c>
      <c r="J33" s="16">
        <f>ROUND(G33/39560-1,2)</f>
        <v>0.36</v>
      </c>
    </row>
    <row r="34" spans="1:10" x14ac:dyDescent="0.25">
      <c r="A34" s="1" t="s">
        <v>16</v>
      </c>
      <c r="B34" s="1" t="s">
        <v>36</v>
      </c>
      <c r="C34" s="11"/>
      <c r="D34" s="11"/>
      <c r="E34" s="11"/>
      <c r="F34" s="11"/>
      <c r="G34" s="11">
        <f t="shared" si="0"/>
        <v>0</v>
      </c>
      <c r="H34" s="17">
        <f t="shared" si="1"/>
        <v>0</v>
      </c>
      <c r="I34" s="16">
        <f t="shared" si="2"/>
        <v>0</v>
      </c>
      <c r="J34" s="16">
        <f>ROUND(G34/265-1,2)</f>
        <v>-1</v>
      </c>
    </row>
    <row r="35" spans="1:10" x14ac:dyDescent="0.25">
      <c r="A35" s="1" t="s">
        <v>16</v>
      </c>
      <c r="B35" s="1" t="s">
        <v>22</v>
      </c>
      <c r="C35" s="11"/>
      <c r="D35" s="11"/>
      <c r="E35" s="11"/>
      <c r="F35" s="11"/>
      <c r="G35" s="11">
        <f t="shared" si="0"/>
        <v>0</v>
      </c>
      <c r="H35" s="17">
        <f t="shared" si="1"/>
        <v>0</v>
      </c>
      <c r="I35" s="16">
        <f t="shared" si="2"/>
        <v>0</v>
      </c>
      <c r="J35" s="16"/>
    </row>
    <row r="36" spans="1:10" x14ac:dyDescent="0.25">
      <c r="A36" s="1" t="s">
        <v>16</v>
      </c>
      <c r="B36" s="1" t="s">
        <v>32</v>
      </c>
      <c r="C36" s="11"/>
      <c r="D36" s="11"/>
      <c r="E36" s="11"/>
      <c r="F36" s="11"/>
      <c r="G36" s="11">
        <f t="shared" si="0"/>
        <v>0</v>
      </c>
      <c r="H36" s="17">
        <f t="shared" si="1"/>
        <v>0</v>
      </c>
      <c r="I36" s="16">
        <f t="shared" si="2"/>
        <v>0</v>
      </c>
      <c r="J36" s="16">
        <f>ROUND(G36/620-1,2)</f>
        <v>-1</v>
      </c>
    </row>
    <row r="37" spans="1:10" x14ac:dyDescent="0.25">
      <c r="A37" s="1" t="s">
        <v>16</v>
      </c>
      <c r="B37" s="1" t="s">
        <v>99</v>
      </c>
      <c r="C37" s="11"/>
      <c r="D37" s="11"/>
      <c r="E37" s="11"/>
      <c r="F37" s="11"/>
      <c r="G37" s="11">
        <f t="shared" si="0"/>
        <v>0</v>
      </c>
      <c r="H37" s="17">
        <f t="shared" si="1"/>
        <v>0</v>
      </c>
      <c r="I37" s="16">
        <f t="shared" si="2"/>
        <v>0</v>
      </c>
      <c r="J37" s="16"/>
    </row>
    <row r="38" spans="1:10" x14ac:dyDescent="0.25">
      <c r="A38" s="1" t="s">
        <v>45</v>
      </c>
      <c r="B38" s="1" t="s">
        <v>46</v>
      </c>
      <c r="C38" s="11">
        <v>186880</v>
      </c>
      <c r="D38" s="11"/>
      <c r="E38" s="11"/>
      <c r="F38" s="11"/>
      <c r="G38" s="11">
        <f t="shared" si="0"/>
        <v>186880</v>
      </c>
      <c r="H38" s="17">
        <f t="shared" si="1"/>
        <v>50.67</v>
      </c>
      <c r="I38" s="16">
        <f t="shared" si="2"/>
        <v>0.153</v>
      </c>
      <c r="J38" s="16">
        <f>ROUND(G38/175370-1,2)</f>
        <v>7.0000000000000007E-2</v>
      </c>
    </row>
    <row r="39" spans="1:10" x14ac:dyDescent="0.25">
      <c r="A39" s="1" t="s">
        <v>45</v>
      </c>
      <c r="B39" s="1" t="s">
        <v>48</v>
      </c>
      <c r="C39" s="11"/>
      <c r="D39" s="11"/>
      <c r="E39" s="11"/>
      <c r="F39" s="11">
        <v>44770</v>
      </c>
      <c r="G39" s="11">
        <f t="shared" si="0"/>
        <v>44770</v>
      </c>
      <c r="H39" s="17">
        <f t="shared" si="1"/>
        <v>12.14</v>
      </c>
      <c r="I39" s="16">
        <f t="shared" si="2"/>
        <v>3.6999999999999998E-2</v>
      </c>
      <c r="J39" s="16">
        <f>ROUND(G39/43600-1,2)</f>
        <v>0.03</v>
      </c>
    </row>
    <row r="40" spans="1:10" x14ac:dyDescent="0.25">
      <c r="A40" s="1" t="s">
        <v>45</v>
      </c>
      <c r="B40" s="1" t="s">
        <v>47</v>
      </c>
      <c r="C40" s="11"/>
      <c r="D40" s="11"/>
      <c r="E40" s="11">
        <v>83260</v>
      </c>
      <c r="F40" s="11"/>
      <c r="G40" s="11">
        <f t="shared" si="0"/>
        <v>83260</v>
      </c>
      <c r="H40" s="17">
        <f t="shared" si="1"/>
        <v>22.58</v>
      </c>
      <c r="I40" s="16">
        <f t="shared" si="2"/>
        <v>6.8000000000000005E-2</v>
      </c>
      <c r="J40" s="16">
        <f>ROUND(G40/83640-1,2)</f>
        <v>0</v>
      </c>
    </row>
    <row r="41" spans="1:10" x14ac:dyDescent="0.25">
      <c r="A41" s="1" t="s">
        <v>49</v>
      </c>
      <c r="B41" s="1" t="s">
        <v>51</v>
      </c>
      <c r="C41" s="11"/>
      <c r="D41" s="11"/>
      <c r="E41" s="11"/>
      <c r="F41" s="11"/>
      <c r="G41" s="11">
        <f t="shared" si="0"/>
        <v>0</v>
      </c>
      <c r="H41" s="17">
        <f t="shared" si="1"/>
        <v>0</v>
      </c>
      <c r="I41" s="16">
        <f t="shared" si="2"/>
        <v>0</v>
      </c>
      <c r="J41" s="16"/>
    </row>
    <row r="42" spans="1:10" x14ac:dyDescent="0.25">
      <c r="A42" s="1" t="s">
        <v>49</v>
      </c>
      <c r="B42" s="1" t="s">
        <v>52</v>
      </c>
      <c r="C42" s="11"/>
      <c r="D42" s="11"/>
      <c r="E42" s="11"/>
      <c r="F42" s="11"/>
      <c r="G42" s="11">
        <f t="shared" si="0"/>
        <v>0</v>
      </c>
      <c r="H42" s="17">
        <f t="shared" si="1"/>
        <v>0</v>
      </c>
      <c r="I42" s="16">
        <f t="shared" si="2"/>
        <v>0</v>
      </c>
      <c r="J42" s="16"/>
    </row>
    <row r="43" spans="1:10" x14ac:dyDescent="0.25">
      <c r="A43" s="26" t="s">
        <v>12</v>
      </c>
      <c r="B43" s="26"/>
      <c r="C43" s="12">
        <f t="shared" ref="C43:H43" si="3">SUM(C8:C42)</f>
        <v>808690</v>
      </c>
      <c r="D43" s="12">
        <f t="shared" si="3"/>
        <v>210</v>
      </c>
      <c r="E43" s="12">
        <f t="shared" si="3"/>
        <v>369087</v>
      </c>
      <c r="F43" s="12">
        <f t="shared" si="3"/>
        <v>46480</v>
      </c>
      <c r="G43" s="12">
        <f t="shared" si="3"/>
        <v>1224467</v>
      </c>
      <c r="H43" s="15">
        <f t="shared" si="3"/>
        <v>332.00999999999993</v>
      </c>
      <c r="I43" s="18"/>
      <c r="J43" s="18"/>
    </row>
    <row r="44" spans="1:10" x14ac:dyDescent="0.25">
      <c r="A44" s="26" t="s">
        <v>14</v>
      </c>
      <c r="B44" s="26"/>
      <c r="C44" s="13">
        <f>ROUND(C43/G43,2)</f>
        <v>0.66</v>
      </c>
      <c r="D44" s="13">
        <f>ROUND(D43/G43,2)</f>
        <v>0</v>
      </c>
      <c r="E44" s="13">
        <f>ROUND(E43/G43,2)</f>
        <v>0.3</v>
      </c>
      <c r="F44" s="13">
        <f>ROUND(F43/G43,2)</f>
        <v>0.04</v>
      </c>
      <c r="G44" s="14"/>
      <c r="H44" s="14"/>
      <c r="I44" s="18"/>
      <c r="J44" s="18"/>
    </row>
    <row r="45" spans="1:10" x14ac:dyDescent="0.25">
      <c r="A45" s="2" t="s">
        <v>53</v>
      </c>
      <c r="B45" s="2"/>
      <c r="C45" s="14"/>
      <c r="D45" s="14"/>
      <c r="E45" s="14"/>
      <c r="F45" s="14"/>
      <c r="G45" s="14"/>
      <c r="H45" s="14"/>
      <c r="I45" s="18"/>
      <c r="J45" s="18"/>
    </row>
    <row r="46" spans="1:10" x14ac:dyDescent="0.25">
      <c r="C46" s="9"/>
      <c r="D46" s="9"/>
      <c r="E46" s="9"/>
      <c r="F46" s="9"/>
      <c r="G46" s="9"/>
      <c r="H46" s="9"/>
      <c r="I46" s="10"/>
      <c r="J46" s="10"/>
    </row>
    <row r="47" spans="1:10" x14ac:dyDescent="0.25">
      <c r="C47" s="9"/>
      <c r="D47" s="9"/>
      <c r="E47" s="9"/>
      <c r="F47" s="9"/>
      <c r="G47" s="9"/>
      <c r="H47" s="9"/>
      <c r="I47" s="10"/>
      <c r="J47" s="10"/>
    </row>
    <row r="48" spans="1:10" x14ac:dyDescent="0.25">
      <c r="C48" s="9"/>
      <c r="D48" s="9"/>
      <c r="E48" s="9"/>
      <c r="F48" s="9"/>
      <c r="G48" s="9"/>
      <c r="H48" s="9"/>
      <c r="I48" s="10"/>
      <c r="J48" s="10"/>
    </row>
    <row r="49" spans="1:10" x14ac:dyDescent="0.25">
      <c r="A49" s="26" t="s">
        <v>54</v>
      </c>
      <c r="B49" s="26"/>
      <c r="C49" s="12" t="s">
        <v>8</v>
      </c>
      <c r="D49" s="12" t="s">
        <v>9</v>
      </c>
      <c r="E49" s="12" t="s">
        <v>10</v>
      </c>
      <c r="F49" s="12" t="s">
        <v>11</v>
      </c>
      <c r="G49" s="12" t="s">
        <v>12</v>
      </c>
      <c r="H49" s="15" t="s">
        <v>13</v>
      </c>
      <c r="I49" s="18"/>
      <c r="J49" s="18"/>
    </row>
    <row r="50" spans="1:10" x14ac:dyDescent="0.25">
      <c r="A50" s="21" t="s">
        <v>55</v>
      </c>
      <c r="B50" s="21"/>
      <c r="C50" s="11">
        <v>621810</v>
      </c>
      <c r="D50" s="11">
        <v>210</v>
      </c>
      <c r="E50" s="11">
        <v>285827</v>
      </c>
      <c r="F50" s="11">
        <v>1710</v>
      </c>
      <c r="G50" s="11">
        <f>SUM(C50:F50)</f>
        <v>909557</v>
      </c>
      <c r="H50" s="17">
        <f>ROUND(G50/3688,2)</f>
        <v>246.63</v>
      </c>
      <c r="I50" s="10"/>
      <c r="J50" s="10"/>
    </row>
    <row r="51" spans="1:10" x14ac:dyDescent="0.25">
      <c r="A51" s="21" t="s">
        <v>56</v>
      </c>
      <c r="B51" s="21"/>
      <c r="C51" s="11">
        <v>186880</v>
      </c>
      <c r="D51" s="11">
        <v>0</v>
      </c>
      <c r="E51" s="11">
        <v>83260</v>
      </c>
      <c r="F51" s="11">
        <v>44770</v>
      </c>
      <c r="G51" s="11">
        <f>SUM(C51:F51)</f>
        <v>314910</v>
      </c>
      <c r="H51" s="17">
        <f>ROUND(G51/3688,2)</f>
        <v>85.39</v>
      </c>
      <c r="I51" s="10"/>
      <c r="J51" s="10"/>
    </row>
    <row r="52" spans="1:10" x14ac:dyDescent="0.25">
      <c r="A52" s="21" t="s">
        <v>57</v>
      </c>
      <c r="B52" s="21"/>
      <c r="C52" s="11">
        <v>0</v>
      </c>
      <c r="D52" s="11">
        <v>0</v>
      </c>
      <c r="E52" s="11">
        <v>0</v>
      </c>
      <c r="F52" s="11">
        <v>0</v>
      </c>
      <c r="G52" s="11">
        <f>SUM(C52:F52)</f>
        <v>0</v>
      </c>
      <c r="H52" s="17">
        <f>ROUND(G52/3688,2)</f>
        <v>0</v>
      </c>
      <c r="I52" s="10"/>
      <c r="J52" s="10"/>
    </row>
    <row r="53" spans="1:10" x14ac:dyDescent="0.25">
      <c r="C53" s="9"/>
      <c r="D53" s="9"/>
      <c r="E53" s="9"/>
      <c r="F53" s="9"/>
      <c r="G53" s="9"/>
      <c r="H53" s="9"/>
      <c r="I53" s="10"/>
      <c r="J53" s="10"/>
    </row>
    <row r="54" spans="1:10" x14ac:dyDescent="0.25">
      <c r="C54" s="9"/>
      <c r="D54" s="9"/>
      <c r="E54" s="9"/>
      <c r="F54" s="9"/>
      <c r="G54" s="9"/>
      <c r="H54" s="9"/>
      <c r="I54" s="10"/>
      <c r="J54" s="10"/>
    </row>
    <row r="55" spans="1:10" x14ac:dyDescent="0.25">
      <c r="C55" s="9"/>
      <c r="D55" s="9"/>
      <c r="E55" s="9"/>
      <c r="F55" s="9"/>
      <c r="G55" s="9"/>
      <c r="H55" s="9"/>
      <c r="I55" s="10"/>
      <c r="J55" s="10"/>
    </row>
    <row r="56" spans="1:10" x14ac:dyDescent="0.25">
      <c r="C56" s="9"/>
      <c r="D56" s="9"/>
      <c r="E56" s="9"/>
      <c r="F56" s="9"/>
      <c r="G56" s="9"/>
      <c r="H56" s="9"/>
      <c r="I56" s="10"/>
      <c r="J56" s="10"/>
    </row>
    <row r="57" spans="1:10" x14ac:dyDescent="0.25">
      <c r="A57" s="26" t="s">
        <v>58</v>
      </c>
      <c r="B57" s="26"/>
      <c r="C57" s="15" t="s">
        <v>2</v>
      </c>
      <c r="D57" s="15">
        <v>2024</v>
      </c>
      <c r="E57" s="15" t="s">
        <v>60</v>
      </c>
      <c r="F57" s="14"/>
      <c r="G57" s="15" t="s">
        <v>61</v>
      </c>
      <c r="H57" s="15" t="s">
        <v>2</v>
      </c>
      <c r="I57" s="13" t="s">
        <v>62</v>
      </c>
      <c r="J57" s="13" t="s">
        <v>60</v>
      </c>
    </row>
    <row r="58" spans="1:10" x14ac:dyDescent="0.25">
      <c r="A58" s="21" t="s">
        <v>59</v>
      </c>
      <c r="B58" s="21"/>
      <c r="C58" s="16">
        <f>ROUND(0.8388, 4)</f>
        <v>0.83879999999999999</v>
      </c>
      <c r="D58" s="16">
        <f>ROUND(0.8365, 4)</f>
        <v>0.83650000000000002</v>
      </c>
      <c r="E58" s="16">
        <f>ROUND(0.7856, 4)</f>
        <v>0.78559999999999997</v>
      </c>
      <c r="F58" s="9"/>
      <c r="G58" s="15" t="s">
        <v>63</v>
      </c>
      <c r="H58" s="27" t="s">
        <v>64</v>
      </c>
      <c r="I58" s="24" t="s">
        <v>65</v>
      </c>
      <c r="J58" s="24" t="s">
        <v>66</v>
      </c>
    </row>
    <row r="59" spans="1:10" x14ac:dyDescent="0.25">
      <c r="A59" s="21" t="s">
        <v>67</v>
      </c>
      <c r="B59" s="21"/>
      <c r="C59" s="16">
        <f>ROUND(0.8388, 4)</f>
        <v>0.83879999999999999</v>
      </c>
      <c r="D59" s="16">
        <f>ROUND(0.8212, 4)</f>
        <v>0.82120000000000004</v>
      </c>
      <c r="E59" s="16">
        <f>ROUND(0.7702, 4)</f>
        <v>0.7702</v>
      </c>
      <c r="F59" s="9"/>
      <c r="G59" s="15" t="s">
        <v>68</v>
      </c>
      <c r="H59" s="28"/>
      <c r="I59" s="25"/>
      <c r="J59" s="25"/>
    </row>
    <row r="60" spans="1:10" x14ac:dyDescent="0.25">
      <c r="C60" s="9"/>
      <c r="D60" s="9"/>
      <c r="E60" s="9"/>
      <c r="F60" s="9"/>
      <c r="G60" s="9"/>
      <c r="H60" s="9"/>
      <c r="I60" s="10"/>
      <c r="J60" s="10"/>
    </row>
    <row r="61" spans="1:10" x14ac:dyDescent="0.25">
      <c r="C61" s="9"/>
      <c r="D61" s="9"/>
      <c r="E61" s="9"/>
      <c r="F61" s="9"/>
      <c r="G61" s="9"/>
      <c r="H61" s="9"/>
      <c r="I61" s="10"/>
      <c r="J61" s="10"/>
    </row>
    <row r="62" spans="1:10" x14ac:dyDescent="0.25">
      <c r="C62" s="9"/>
      <c r="D62" s="9"/>
      <c r="E62" s="9"/>
      <c r="F62" s="9"/>
      <c r="G62" s="9"/>
      <c r="H62" s="9"/>
      <c r="I62" s="10"/>
      <c r="J62" s="10"/>
    </row>
    <row r="63" spans="1:10" x14ac:dyDescent="0.25">
      <c r="A63" s="26" t="s">
        <v>69</v>
      </c>
      <c r="B63" s="26"/>
      <c r="C63" s="15" t="s">
        <v>2</v>
      </c>
      <c r="D63" s="15" t="s">
        <v>317</v>
      </c>
      <c r="E63" s="15" t="s">
        <v>71</v>
      </c>
      <c r="F63" s="15" t="s">
        <v>72</v>
      </c>
      <c r="G63" s="15" t="s">
        <v>73</v>
      </c>
      <c r="H63" s="14"/>
      <c r="I63" s="18"/>
      <c r="J63" s="18"/>
    </row>
    <row r="64" spans="1:10" x14ac:dyDescent="0.25">
      <c r="A64" s="21" t="s">
        <v>74</v>
      </c>
      <c r="B64" s="21"/>
      <c r="C64" s="17">
        <v>50.67</v>
      </c>
      <c r="D64" s="17">
        <v>58.61</v>
      </c>
      <c r="E64" s="17">
        <v>96.15</v>
      </c>
      <c r="F64" s="17">
        <v>57.94</v>
      </c>
      <c r="G64" s="17">
        <f>12/12*C64</f>
        <v>50.67</v>
      </c>
      <c r="H64" s="9"/>
      <c r="I64" s="10"/>
      <c r="J64" s="10"/>
    </row>
    <row r="65" spans="1:10" x14ac:dyDescent="0.25">
      <c r="A65" s="21" t="s">
        <v>75</v>
      </c>
      <c r="B65" s="21"/>
      <c r="C65" s="17">
        <v>49.84</v>
      </c>
      <c r="D65" s="17">
        <v>48.36</v>
      </c>
      <c r="E65" s="17">
        <v>62.28</v>
      </c>
      <c r="F65" s="17">
        <v>66.599999999999994</v>
      </c>
      <c r="G65" s="17">
        <f>12/12*C65</f>
        <v>49.84</v>
      </c>
      <c r="H65" s="9"/>
      <c r="I65" s="10"/>
      <c r="J65" s="10"/>
    </row>
    <row r="66" spans="1:10" x14ac:dyDescent="0.25">
      <c r="A66" s="21" t="s">
        <v>76</v>
      </c>
      <c r="B66" s="21"/>
      <c r="C66" s="17">
        <v>246.63</v>
      </c>
      <c r="D66" s="17">
        <v>243.13</v>
      </c>
      <c r="E66" s="17">
        <v>300.02</v>
      </c>
      <c r="F66" s="17">
        <v>295.08</v>
      </c>
      <c r="G66" s="17">
        <f>12/12*C66</f>
        <v>246.63</v>
      </c>
      <c r="H66" s="9"/>
      <c r="I66" s="10"/>
      <c r="J66" s="10"/>
    </row>
    <row r="67" spans="1:10" x14ac:dyDescent="0.25">
      <c r="A67" s="21" t="s">
        <v>77</v>
      </c>
      <c r="B67" s="21"/>
      <c r="C67" s="17">
        <v>85.39</v>
      </c>
      <c r="D67" s="17">
        <v>88.76</v>
      </c>
      <c r="E67" s="17">
        <v>120.96</v>
      </c>
      <c r="F67" s="17">
        <v>83.12</v>
      </c>
      <c r="G67" s="17">
        <f>12/12*C67</f>
        <v>85.39</v>
      </c>
      <c r="H67" s="9"/>
      <c r="I67" s="10"/>
      <c r="J67" s="10"/>
    </row>
    <row r="68" spans="1:10" x14ac:dyDescent="0.25">
      <c r="C68" s="9"/>
      <c r="D68" s="9"/>
      <c r="E68" s="9"/>
      <c r="F68" s="9"/>
      <c r="G68" s="9"/>
      <c r="H68" s="9"/>
      <c r="I68" s="10"/>
      <c r="J68" s="10"/>
    </row>
    <row r="69" spans="1:10" x14ac:dyDescent="0.25">
      <c r="C69" s="9"/>
      <c r="D69" s="9"/>
      <c r="E69" s="9"/>
      <c r="F69" s="9"/>
      <c r="G69" s="9"/>
      <c r="H69" s="9"/>
      <c r="I69" s="10"/>
      <c r="J69" s="10"/>
    </row>
    <row r="70" spans="1:10" x14ac:dyDescent="0.25">
      <c r="A70" s="22" t="s">
        <v>61</v>
      </c>
      <c r="B70" s="23"/>
      <c r="C70" s="9"/>
      <c r="D70" s="9"/>
      <c r="E70" s="9"/>
      <c r="F70" s="9"/>
      <c r="G70" s="9"/>
      <c r="H70" s="9"/>
      <c r="I70" s="10"/>
      <c r="J70" s="10"/>
    </row>
    <row r="71" spans="1:10" x14ac:dyDescent="0.25">
      <c r="A71" s="3" t="s">
        <v>78</v>
      </c>
      <c r="B71" s="1" t="s">
        <v>318</v>
      </c>
    </row>
    <row r="72" spans="1:10" x14ac:dyDescent="0.25">
      <c r="A72" s="3" t="s">
        <v>71</v>
      </c>
      <c r="B72" s="1" t="s">
        <v>80</v>
      </c>
    </row>
    <row r="73" spans="1:10" x14ac:dyDescent="0.25">
      <c r="A73" s="3" t="s">
        <v>72</v>
      </c>
      <c r="B73" s="1" t="s">
        <v>81</v>
      </c>
    </row>
    <row r="74" spans="1:10" x14ac:dyDescent="0.25">
      <c r="A74" s="3" t="s">
        <v>73</v>
      </c>
      <c r="B74" s="1" t="s">
        <v>82</v>
      </c>
    </row>
  </sheetData>
  <mergeCells count="19">
    <mergeCell ref="C7:G7"/>
    <mergeCell ref="A43:B43"/>
    <mergeCell ref="A44:B44"/>
    <mergeCell ref="A49:B49"/>
    <mergeCell ref="A50:B50"/>
    <mergeCell ref="J58:J59"/>
    <mergeCell ref="A59:B59"/>
    <mergeCell ref="A63:B63"/>
    <mergeCell ref="A64:B64"/>
    <mergeCell ref="A51:B51"/>
    <mergeCell ref="A52:B52"/>
    <mergeCell ref="A57:B57"/>
    <mergeCell ref="A58:B58"/>
    <mergeCell ref="H58:H59"/>
    <mergeCell ref="A65:B65"/>
    <mergeCell ref="A66:B66"/>
    <mergeCell ref="A67:B67"/>
    <mergeCell ref="A70:B70"/>
    <mergeCell ref="I58:I59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2:J76"/>
  <sheetViews>
    <sheetView workbookViewId="0">
      <selection activeCell="H5" sqref="H5"/>
    </sheetView>
  </sheetViews>
  <sheetFormatPr defaultRowHeight="15" x14ac:dyDescent="0.25"/>
  <cols>
    <col min="1" max="1" width="28.42578125" bestFit="1" customWidth="1"/>
    <col min="2" max="2" width="59.5703125" bestFit="1" customWidth="1"/>
    <col min="3" max="3" width="12.7109375" bestFit="1" customWidth="1"/>
    <col min="4" max="4" width="24.28515625" bestFit="1" customWidth="1"/>
    <col min="5" max="5" width="13.85546875" bestFit="1" customWidth="1"/>
    <col min="6" max="6" width="8.5703125" bestFit="1" customWidth="1"/>
    <col min="7" max="7" width="47.7109375" bestFit="1" customWidth="1"/>
    <col min="8" max="9" width="16.7109375" bestFit="1" customWidth="1"/>
    <col min="10" max="10" width="24.42578125" bestFit="1" customWidth="1"/>
  </cols>
  <sheetData>
    <row r="2" spans="1:10" ht="18.75" x14ac:dyDescent="0.3">
      <c r="A2" s="3" t="s">
        <v>0</v>
      </c>
      <c r="B2" s="4" t="s">
        <v>319</v>
      </c>
    </row>
    <row r="3" spans="1:10" x14ac:dyDescent="0.25">
      <c r="A3" s="3" t="s">
        <v>2</v>
      </c>
      <c r="B3" s="1" t="s">
        <v>3</v>
      </c>
    </row>
    <row r="4" spans="1:10" x14ac:dyDescent="0.25">
      <c r="A4" s="3" t="s">
        <v>4</v>
      </c>
      <c r="B4" s="20">
        <v>872</v>
      </c>
    </row>
    <row r="7" spans="1:10" x14ac:dyDescent="0.25">
      <c r="C7" s="22" t="s">
        <v>5</v>
      </c>
      <c r="D7" s="21"/>
      <c r="E7" s="21"/>
      <c r="F7" s="21"/>
      <c r="G7" s="21"/>
    </row>
    <row r="8" spans="1:10" x14ac:dyDescent="0.25">
      <c r="A8" s="3" t="s">
        <v>6</v>
      </c>
      <c r="B8" s="3" t="s">
        <v>7</v>
      </c>
      <c r="C8" s="15" t="s">
        <v>8</v>
      </c>
      <c r="D8" s="15" t="s">
        <v>9</v>
      </c>
      <c r="E8" s="15" t="s">
        <v>10</v>
      </c>
      <c r="F8" s="15" t="s">
        <v>11</v>
      </c>
      <c r="G8" s="15" t="s">
        <v>12</v>
      </c>
      <c r="H8" s="15" t="s">
        <v>13</v>
      </c>
      <c r="I8" s="15" t="s">
        <v>14</v>
      </c>
      <c r="J8" s="15" t="s">
        <v>15</v>
      </c>
    </row>
    <row r="9" spans="1:10" x14ac:dyDescent="0.25">
      <c r="A9" s="1" t="s">
        <v>16</v>
      </c>
      <c r="B9" s="1" t="s">
        <v>17</v>
      </c>
      <c r="C9" s="11"/>
      <c r="D9" s="11"/>
      <c r="E9" s="11">
        <v>18</v>
      </c>
      <c r="F9" s="11"/>
      <c r="G9" s="11">
        <f t="shared" ref="G9:G38" si="0">SUM(C9:F9)</f>
        <v>18</v>
      </c>
      <c r="H9" s="17">
        <f t="shared" ref="H9:H38" si="1">ROUND(G9/872,2)</f>
        <v>0.02</v>
      </c>
      <c r="I9" s="16">
        <f t="shared" ref="I9:I38" si="2">ROUND(G9/$G$39,3)</f>
        <v>0</v>
      </c>
      <c r="J9" s="16">
        <f>ROUND(G9/19-1,2)</f>
        <v>-0.05</v>
      </c>
    </row>
    <row r="10" spans="1:10" x14ac:dyDescent="0.25">
      <c r="A10" s="1" t="s">
        <v>16</v>
      </c>
      <c r="B10" s="1" t="s">
        <v>19</v>
      </c>
      <c r="C10" s="11">
        <v>26410</v>
      </c>
      <c r="D10" s="11"/>
      <c r="E10" s="11">
        <v>840</v>
      </c>
      <c r="F10" s="11"/>
      <c r="G10" s="11">
        <f t="shared" si="0"/>
        <v>27250</v>
      </c>
      <c r="H10" s="17">
        <f t="shared" si="1"/>
        <v>31.25</v>
      </c>
      <c r="I10" s="16">
        <f t="shared" si="2"/>
        <v>0.11700000000000001</v>
      </c>
      <c r="J10" s="16">
        <f>ROUND(G10/31627-1,2)</f>
        <v>-0.14000000000000001</v>
      </c>
    </row>
    <row r="11" spans="1:10" x14ac:dyDescent="0.25">
      <c r="A11" s="1" t="s">
        <v>16</v>
      </c>
      <c r="B11" s="1" t="s">
        <v>20</v>
      </c>
      <c r="C11" s="11">
        <v>36000</v>
      </c>
      <c r="D11" s="11"/>
      <c r="E11" s="11"/>
      <c r="F11" s="11"/>
      <c r="G11" s="11">
        <f t="shared" si="0"/>
        <v>36000</v>
      </c>
      <c r="H11" s="17">
        <f t="shared" si="1"/>
        <v>41.28</v>
      </c>
      <c r="I11" s="16">
        <f t="shared" si="2"/>
        <v>0.154</v>
      </c>
      <c r="J11" s="16">
        <f>ROUND(G11/35593-1,2)</f>
        <v>0.01</v>
      </c>
    </row>
    <row r="12" spans="1:10" x14ac:dyDescent="0.25">
      <c r="A12" s="1" t="s">
        <v>16</v>
      </c>
      <c r="B12" s="1" t="s">
        <v>21</v>
      </c>
      <c r="C12" s="11"/>
      <c r="D12" s="11"/>
      <c r="E12" s="11">
        <v>44</v>
      </c>
      <c r="F12" s="11"/>
      <c r="G12" s="11">
        <f t="shared" si="0"/>
        <v>44</v>
      </c>
      <c r="H12" s="17">
        <f t="shared" si="1"/>
        <v>0.05</v>
      </c>
      <c r="I12" s="16">
        <f t="shared" si="2"/>
        <v>0</v>
      </c>
      <c r="J12" s="16">
        <f>ROUND(G12/78-1,2)</f>
        <v>-0.44</v>
      </c>
    </row>
    <row r="13" spans="1:10" x14ac:dyDescent="0.25">
      <c r="A13" s="1" t="s">
        <v>16</v>
      </c>
      <c r="B13" s="1" t="s">
        <v>22</v>
      </c>
      <c r="C13" s="11"/>
      <c r="D13" s="11"/>
      <c r="E13" s="11">
        <v>442</v>
      </c>
      <c r="F13" s="11"/>
      <c r="G13" s="11">
        <f t="shared" si="0"/>
        <v>442</v>
      </c>
      <c r="H13" s="17">
        <f t="shared" si="1"/>
        <v>0.51</v>
      </c>
      <c r="I13" s="16">
        <f t="shared" si="2"/>
        <v>2E-3</v>
      </c>
      <c r="J13" s="16">
        <f>ROUND(G13/1331-1,2)</f>
        <v>-0.67</v>
      </c>
    </row>
    <row r="14" spans="1:10" x14ac:dyDescent="0.25">
      <c r="A14" s="1" t="s">
        <v>16</v>
      </c>
      <c r="B14" s="1" t="s">
        <v>23</v>
      </c>
      <c r="C14" s="11"/>
      <c r="D14" s="11"/>
      <c r="E14" s="11">
        <v>10004</v>
      </c>
      <c r="F14" s="11"/>
      <c r="G14" s="11">
        <f t="shared" si="0"/>
        <v>10004</v>
      </c>
      <c r="H14" s="17">
        <f t="shared" si="1"/>
        <v>11.47</v>
      </c>
      <c r="I14" s="16">
        <f t="shared" si="2"/>
        <v>4.2999999999999997E-2</v>
      </c>
      <c r="J14" s="16">
        <f>ROUND(G14/24567-1,2)</f>
        <v>-0.59</v>
      </c>
    </row>
    <row r="15" spans="1:10" x14ac:dyDescent="0.25">
      <c r="A15" s="1" t="s">
        <v>16</v>
      </c>
      <c r="B15" s="1" t="s">
        <v>24</v>
      </c>
      <c r="C15" s="11">
        <v>28090</v>
      </c>
      <c r="D15" s="11"/>
      <c r="E15" s="11">
        <v>1841</v>
      </c>
      <c r="F15" s="11"/>
      <c r="G15" s="11">
        <f t="shared" si="0"/>
        <v>29931</v>
      </c>
      <c r="H15" s="17">
        <f t="shared" si="1"/>
        <v>34.32</v>
      </c>
      <c r="I15" s="16">
        <f t="shared" si="2"/>
        <v>0.128</v>
      </c>
      <c r="J15" s="16">
        <f>ROUND(G15/40476-1,2)</f>
        <v>-0.26</v>
      </c>
    </row>
    <row r="16" spans="1:10" x14ac:dyDescent="0.25">
      <c r="A16" s="1" t="s">
        <v>16</v>
      </c>
      <c r="B16" s="1" t="s">
        <v>25</v>
      </c>
      <c r="C16" s="11"/>
      <c r="D16" s="11"/>
      <c r="E16" s="11">
        <v>523</v>
      </c>
      <c r="F16" s="11"/>
      <c r="G16" s="11">
        <f t="shared" si="0"/>
        <v>523</v>
      </c>
      <c r="H16" s="17">
        <f t="shared" si="1"/>
        <v>0.6</v>
      </c>
      <c r="I16" s="16">
        <f t="shared" si="2"/>
        <v>2E-3</v>
      </c>
      <c r="J16" s="16">
        <f>ROUND(G16/1412-1,2)</f>
        <v>-0.63</v>
      </c>
    </row>
    <row r="17" spans="1:10" x14ac:dyDescent="0.25">
      <c r="A17" s="1" t="s">
        <v>16</v>
      </c>
      <c r="B17" s="1" t="s">
        <v>26</v>
      </c>
      <c r="C17" s="11">
        <v>23230</v>
      </c>
      <c r="D17" s="11"/>
      <c r="E17" s="11"/>
      <c r="F17" s="11"/>
      <c r="G17" s="11">
        <f t="shared" si="0"/>
        <v>23230</v>
      </c>
      <c r="H17" s="17">
        <f t="shared" si="1"/>
        <v>26.64</v>
      </c>
      <c r="I17" s="16">
        <f t="shared" si="2"/>
        <v>9.9000000000000005E-2</v>
      </c>
      <c r="J17" s="16">
        <f>ROUND(G17/32860-1,2)</f>
        <v>-0.28999999999999998</v>
      </c>
    </row>
    <row r="18" spans="1:10" x14ac:dyDescent="0.25">
      <c r="A18" s="1" t="s">
        <v>16</v>
      </c>
      <c r="B18" s="1" t="s">
        <v>27</v>
      </c>
      <c r="C18" s="11"/>
      <c r="D18" s="11"/>
      <c r="E18" s="11">
        <v>167</v>
      </c>
      <c r="F18" s="11"/>
      <c r="G18" s="11">
        <f t="shared" si="0"/>
        <v>167</v>
      </c>
      <c r="H18" s="17">
        <f t="shared" si="1"/>
        <v>0.19</v>
      </c>
      <c r="I18" s="16">
        <f t="shared" si="2"/>
        <v>1E-3</v>
      </c>
      <c r="J18" s="16">
        <f>ROUND(G18/315-1,2)</f>
        <v>-0.47</v>
      </c>
    </row>
    <row r="19" spans="1:10" x14ac:dyDescent="0.25">
      <c r="A19" s="1" t="s">
        <v>16</v>
      </c>
      <c r="B19" s="1" t="s">
        <v>28</v>
      </c>
      <c r="C19" s="11"/>
      <c r="D19" s="11"/>
      <c r="E19" s="11">
        <v>79</v>
      </c>
      <c r="F19" s="11"/>
      <c r="G19" s="11">
        <f t="shared" si="0"/>
        <v>79</v>
      </c>
      <c r="H19" s="17">
        <f t="shared" si="1"/>
        <v>0.09</v>
      </c>
      <c r="I19" s="16">
        <f t="shared" si="2"/>
        <v>0</v>
      </c>
      <c r="J19" s="16">
        <f>ROUND(G19/196-1,2)</f>
        <v>-0.6</v>
      </c>
    </row>
    <row r="20" spans="1:10" x14ac:dyDescent="0.25">
      <c r="A20" s="1" t="s">
        <v>16</v>
      </c>
      <c r="B20" s="1" t="s">
        <v>30</v>
      </c>
      <c r="C20" s="11"/>
      <c r="D20" s="11"/>
      <c r="E20" s="11">
        <v>586</v>
      </c>
      <c r="F20" s="11"/>
      <c r="G20" s="11">
        <f t="shared" si="0"/>
        <v>586</v>
      </c>
      <c r="H20" s="17">
        <f t="shared" si="1"/>
        <v>0.67</v>
      </c>
      <c r="I20" s="16">
        <f t="shared" si="2"/>
        <v>3.0000000000000001E-3</v>
      </c>
      <c r="J20" s="16">
        <f>ROUND(G20/1788-1,2)</f>
        <v>-0.67</v>
      </c>
    </row>
    <row r="21" spans="1:10" x14ac:dyDescent="0.25">
      <c r="A21" s="1" t="s">
        <v>16</v>
      </c>
      <c r="B21" s="1" t="s">
        <v>31</v>
      </c>
      <c r="C21" s="11"/>
      <c r="D21" s="11"/>
      <c r="E21" s="11">
        <v>181</v>
      </c>
      <c r="F21" s="11"/>
      <c r="G21" s="11">
        <f t="shared" si="0"/>
        <v>181</v>
      </c>
      <c r="H21" s="17">
        <f t="shared" si="1"/>
        <v>0.21</v>
      </c>
      <c r="I21" s="16">
        <f t="shared" si="2"/>
        <v>1E-3</v>
      </c>
      <c r="J21" s="16">
        <f>ROUND(G21/206-1,2)</f>
        <v>-0.12</v>
      </c>
    </row>
    <row r="22" spans="1:10" x14ac:dyDescent="0.25">
      <c r="A22" s="1" t="s">
        <v>16</v>
      </c>
      <c r="B22" s="1" t="s">
        <v>33</v>
      </c>
      <c r="C22" s="11"/>
      <c r="D22" s="11"/>
      <c r="E22" s="11">
        <v>278</v>
      </c>
      <c r="F22" s="11"/>
      <c r="G22" s="11">
        <f t="shared" si="0"/>
        <v>278</v>
      </c>
      <c r="H22" s="17">
        <f t="shared" si="1"/>
        <v>0.32</v>
      </c>
      <c r="I22" s="16">
        <f t="shared" si="2"/>
        <v>1E-3</v>
      </c>
      <c r="J22" s="16">
        <f>ROUND(G22/526-1,2)</f>
        <v>-0.47</v>
      </c>
    </row>
    <row r="23" spans="1:10" x14ac:dyDescent="0.25">
      <c r="A23" s="1" t="s">
        <v>16</v>
      </c>
      <c r="B23" s="1" t="s">
        <v>34</v>
      </c>
      <c r="C23" s="11"/>
      <c r="D23" s="11"/>
      <c r="E23" s="11">
        <v>15</v>
      </c>
      <c r="F23" s="11"/>
      <c r="G23" s="11">
        <f t="shared" si="0"/>
        <v>15</v>
      </c>
      <c r="H23" s="17">
        <f t="shared" si="1"/>
        <v>0.02</v>
      </c>
      <c r="I23" s="16">
        <f t="shared" si="2"/>
        <v>0</v>
      </c>
      <c r="J23" s="16">
        <f>ROUND(G23/81-1,2)</f>
        <v>-0.81</v>
      </c>
    </row>
    <row r="24" spans="1:10" x14ac:dyDescent="0.25">
      <c r="A24" s="1" t="s">
        <v>16</v>
      </c>
      <c r="B24" s="1" t="s">
        <v>35</v>
      </c>
      <c r="C24" s="11"/>
      <c r="D24" s="11"/>
      <c r="E24" s="11">
        <v>369</v>
      </c>
      <c r="F24" s="11"/>
      <c r="G24" s="11">
        <f t="shared" si="0"/>
        <v>369</v>
      </c>
      <c r="H24" s="17">
        <f t="shared" si="1"/>
        <v>0.42</v>
      </c>
      <c r="I24" s="16">
        <f t="shared" si="2"/>
        <v>2E-3</v>
      </c>
      <c r="J24" s="16"/>
    </row>
    <row r="25" spans="1:10" x14ac:dyDescent="0.25">
      <c r="A25" s="1" t="s">
        <v>16</v>
      </c>
      <c r="B25" s="1" t="s">
        <v>37</v>
      </c>
      <c r="C25" s="11"/>
      <c r="D25" s="11"/>
      <c r="E25" s="11">
        <v>152</v>
      </c>
      <c r="F25" s="11"/>
      <c r="G25" s="11">
        <f t="shared" si="0"/>
        <v>152</v>
      </c>
      <c r="H25" s="17">
        <f t="shared" si="1"/>
        <v>0.17</v>
      </c>
      <c r="I25" s="16">
        <f t="shared" si="2"/>
        <v>1E-3</v>
      </c>
      <c r="J25" s="16">
        <f>ROUND(G25/556-1,2)</f>
        <v>-0.73</v>
      </c>
    </row>
    <row r="26" spans="1:10" x14ac:dyDescent="0.25">
      <c r="A26" s="1" t="s">
        <v>16</v>
      </c>
      <c r="B26" s="1" t="s">
        <v>38</v>
      </c>
      <c r="C26" s="11"/>
      <c r="D26" s="11"/>
      <c r="E26" s="11">
        <v>921</v>
      </c>
      <c r="F26" s="11"/>
      <c r="G26" s="11">
        <f t="shared" si="0"/>
        <v>921</v>
      </c>
      <c r="H26" s="17">
        <f t="shared" si="1"/>
        <v>1.06</v>
      </c>
      <c r="I26" s="16">
        <f t="shared" si="2"/>
        <v>4.0000000000000001E-3</v>
      </c>
      <c r="J26" s="16">
        <f>ROUND(G26/2925-1,2)</f>
        <v>-0.69</v>
      </c>
    </row>
    <row r="27" spans="1:10" x14ac:dyDescent="0.25">
      <c r="A27" s="1" t="s">
        <v>16</v>
      </c>
      <c r="B27" s="1" t="s">
        <v>39</v>
      </c>
      <c r="C27" s="11"/>
      <c r="D27" s="11"/>
      <c r="E27" s="11">
        <v>1274</v>
      </c>
      <c r="F27" s="11"/>
      <c r="G27" s="11">
        <f t="shared" si="0"/>
        <v>1274</v>
      </c>
      <c r="H27" s="17">
        <f t="shared" si="1"/>
        <v>1.46</v>
      </c>
      <c r="I27" s="16">
        <f t="shared" si="2"/>
        <v>5.0000000000000001E-3</v>
      </c>
      <c r="J27" s="16">
        <f>ROUND(G27/2655-1,2)</f>
        <v>-0.52</v>
      </c>
    </row>
    <row r="28" spans="1:10" x14ac:dyDescent="0.25">
      <c r="A28" s="1" t="s">
        <v>16</v>
      </c>
      <c r="B28" s="1" t="s">
        <v>40</v>
      </c>
      <c r="C28" s="11"/>
      <c r="D28" s="11"/>
      <c r="E28" s="11">
        <v>8718</v>
      </c>
      <c r="F28" s="11"/>
      <c r="G28" s="11">
        <f t="shared" si="0"/>
        <v>8718</v>
      </c>
      <c r="H28" s="17">
        <f t="shared" si="1"/>
        <v>10</v>
      </c>
      <c r="I28" s="16">
        <f t="shared" si="2"/>
        <v>3.6999999999999998E-2</v>
      </c>
      <c r="J28" s="16">
        <f>ROUND(G28/25065-1,2)</f>
        <v>-0.65</v>
      </c>
    </row>
    <row r="29" spans="1:10" x14ac:dyDescent="0.25">
      <c r="A29" s="1" t="s">
        <v>16</v>
      </c>
      <c r="B29" s="1" t="s">
        <v>41</v>
      </c>
      <c r="C29" s="11"/>
      <c r="D29" s="11"/>
      <c r="E29" s="11">
        <v>1029</v>
      </c>
      <c r="F29" s="11"/>
      <c r="G29" s="11">
        <f t="shared" si="0"/>
        <v>1029</v>
      </c>
      <c r="H29" s="17">
        <f t="shared" si="1"/>
        <v>1.18</v>
      </c>
      <c r="I29" s="16">
        <f t="shared" si="2"/>
        <v>4.0000000000000001E-3</v>
      </c>
      <c r="J29" s="16"/>
    </row>
    <row r="30" spans="1:10" x14ac:dyDescent="0.25">
      <c r="A30" s="1" t="s">
        <v>16</v>
      </c>
      <c r="B30" s="1" t="s">
        <v>42</v>
      </c>
      <c r="C30" s="11"/>
      <c r="D30" s="11"/>
      <c r="E30" s="11">
        <v>4157</v>
      </c>
      <c r="F30" s="11"/>
      <c r="G30" s="11">
        <f t="shared" si="0"/>
        <v>4157</v>
      </c>
      <c r="H30" s="17">
        <f t="shared" si="1"/>
        <v>4.7699999999999996</v>
      </c>
      <c r="I30" s="16">
        <f t="shared" si="2"/>
        <v>1.7999999999999999E-2</v>
      </c>
      <c r="J30" s="16">
        <f>ROUND(G30/9104-1,2)</f>
        <v>-0.54</v>
      </c>
    </row>
    <row r="31" spans="1:10" x14ac:dyDescent="0.25">
      <c r="A31" s="1" t="s">
        <v>16</v>
      </c>
      <c r="B31" s="1" t="s">
        <v>44</v>
      </c>
      <c r="C31" s="11"/>
      <c r="D31" s="11"/>
      <c r="E31" s="11">
        <v>1414</v>
      </c>
      <c r="F31" s="11"/>
      <c r="G31" s="11">
        <f t="shared" si="0"/>
        <v>1414</v>
      </c>
      <c r="H31" s="17">
        <f t="shared" si="1"/>
        <v>1.62</v>
      </c>
      <c r="I31" s="16">
        <f t="shared" si="2"/>
        <v>6.0000000000000001E-3</v>
      </c>
      <c r="J31" s="16">
        <f>ROUND(G31/14841-1,2)</f>
        <v>-0.9</v>
      </c>
    </row>
    <row r="32" spans="1:10" x14ac:dyDescent="0.25">
      <c r="A32" s="1" t="s">
        <v>16</v>
      </c>
      <c r="B32" s="1" t="s">
        <v>32</v>
      </c>
      <c r="C32" s="11"/>
      <c r="D32" s="11"/>
      <c r="E32" s="11"/>
      <c r="F32" s="11"/>
      <c r="G32" s="11">
        <f t="shared" si="0"/>
        <v>0</v>
      </c>
      <c r="H32" s="17">
        <f t="shared" si="1"/>
        <v>0</v>
      </c>
      <c r="I32" s="16">
        <f t="shared" si="2"/>
        <v>0</v>
      </c>
      <c r="J32" s="16">
        <f>ROUND(G32/184-1,2)</f>
        <v>-1</v>
      </c>
    </row>
    <row r="33" spans="1:10" x14ac:dyDescent="0.25">
      <c r="A33" s="1" t="s">
        <v>16</v>
      </c>
      <c r="B33" s="1" t="s">
        <v>29</v>
      </c>
      <c r="C33" s="11"/>
      <c r="D33" s="11"/>
      <c r="E33" s="11"/>
      <c r="F33" s="11"/>
      <c r="G33" s="11">
        <f t="shared" si="0"/>
        <v>0</v>
      </c>
      <c r="H33" s="17">
        <f t="shared" si="1"/>
        <v>0</v>
      </c>
      <c r="I33" s="16">
        <f t="shared" si="2"/>
        <v>0</v>
      </c>
      <c r="J33" s="16">
        <f>ROUND(G33/57-1,2)</f>
        <v>-1</v>
      </c>
    </row>
    <row r="34" spans="1:10" x14ac:dyDescent="0.25">
      <c r="A34" s="1" t="s">
        <v>16</v>
      </c>
      <c r="B34" s="1" t="s">
        <v>36</v>
      </c>
      <c r="C34" s="11"/>
      <c r="D34" s="11"/>
      <c r="E34" s="11"/>
      <c r="F34" s="11"/>
      <c r="G34" s="11">
        <f t="shared" si="0"/>
        <v>0</v>
      </c>
      <c r="H34" s="17">
        <f t="shared" si="1"/>
        <v>0</v>
      </c>
      <c r="I34" s="16">
        <f t="shared" si="2"/>
        <v>0</v>
      </c>
      <c r="J34" s="16">
        <f>ROUND(G34/118-1,2)</f>
        <v>-1</v>
      </c>
    </row>
    <row r="35" spans="1:10" x14ac:dyDescent="0.25">
      <c r="A35" s="1" t="s">
        <v>45</v>
      </c>
      <c r="B35" s="1" t="s">
        <v>46</v>
      </c>
      <c r="C35" s="11">
        <v>68940</v>
      </c>
      <c r="D35" s="11"/>
      <c r="E35" s="11"/>
      <c r="F35" s="11"/>
      <c r="G35" s="11">
        <f t="shared" si="0"/>
        <v>68940</v>
      </c>
      <c r="H35" s="17">
        <f t="shared" si="1"/>
        <v>79.06</v>
      </c>
      <c r="I35" s="16">
        <f t="shared" si="2"/>
        <v>0.29499999999999998</v>
      </c>
      <c r="J35" s="16">
        <f>ROUND(G35/77630-1,2)</f>
        <v>-0.11</v>
      </c>
    </row>
    <row r="36" spans="1:10" x14ac:dyDescent="0.25">
      <c r="A36" s="1" t="s">
        <v>45</v>
      </c>
      <c r="B36" s="1" t="s">
        <v>48</v>
      </c>
      <c r="C36" s="11"/>
      <c r="D36" s="11"/>
      <c r="E36" s="11"/>
      <c r="F36" s="11">
        <v>11345</v>
      </c>
      <c r="G36" s="11">
        <f t="shared" si="0"/>
        <v>11345</v>
      </c>
      <c r="H36" s="17">
        <f t="shared" si="1"/>
        <v>13.01</v>
      </c>
      <c r="I36" s="16">
        <f t="shared" si="2"/>
        <v>4.9000000000000002E-2</v>
      </c>
      <c r="J36" s="16">
        <f>ROUND(G36/6370-1,2)</f>
        <v>0.78</v>
      </c>
    </row>
    <row r="37" spans="1:10" x14ac:dyDescent="0.25">
      <c r="A37" s="1" t="s">
        <v>45</v>
      </c>
      <c r="B37" s="1" t="s">
        <v>47</v>
      </c>
      <c r="C37" s="11"/>
      <c r="D37" s="11"/>
      <c r="E37" s="11">
        <v>6420</v>
      </c>
      <c r="F37" s="11"/>
      <c r="G37" s="11">
        <f t="shared" si="0"/>
        <v>6420</v>
      </c>
      <c r="H37" s="17">
        <f t="shared" si="1"/>
        <v>7.36</v>
      </c>
      <c r="I37" s="16">
        <f t="shared" si="2"/>
        <v>2.7E-2</v>
      </c>
      <c r="J37" s="16">
        <f>ROUND(G37/14827-1,2)</f>
        <v>-0.56999999999999995</v>
      </c>
    </row>
    <row r="38" spans="1:10" x14ac:dyDescent="0.25">
      <c r="A38" s="1" t="s">
        <v>49</v>
      </c>
      <c r="B38" s="1" t="s">
        <v>52</v>
      </c>
      <c r="C38" s="11"/>
      <c r="D38" s="11"/>
      <c r="E38" s="11"/>
      <c r="F38" s="11"/>
      <c r="G38" s="11">
        <f t="shared" si="0"/>
        <v>0</v>
      </c>
      <c r="H38" s="17">
        <f t="shared" si="1"/>
        <v>0</v>
      </c>
      <c r="I38" s="16">
        <f t="shared" si="2"/>
        <v>0</v>
      </c>
      <c r="J38" s="16"/>
    </row>
    <row r="39" spans="1:10" x14ac:dyDescent="0.25">
      <c r="A39" s="26" t="s">
        <v>12</v>
      </c>
      <c r="B39" s="26"/>
      <c r="C39" s="12">
        <f t="shared" ref="C39:H39" si="3">SUM(C8:C38)</f>
        <v>182670</v>
      </c>
      <c r="D39" s="12">
        <f t="shared" si="3"/>
        <v>0</v>
      </c>
      <c r="E39" s="12">
        <f t="shared" si="3"/>
        <v>39472</v>
      </c>
      <c r="F39" s="12">
        <f t="shared" si="3"/>
        <v>11345</v>
      </c>
      <c r="G39" s="12">
        <f t="shared" si="3"/>
        <v>233487</v>
      </c>
      <c r="H39" s="15">
        <f t="shared" si="3"/>
        <v>267.75</v>
      </c>
      <c r="I39" s="18"/>
      <c r="J39" s="18"/>
    </row>
    <row r="40" spans="1:10" x14ac:dyDescent="0.25">
      <c r="A40" s="26" t="s">
        <v>14</v>
      </c>
      <c r="B40" s="26"/>
      <c r="C40" s="13">
        <f>ROUND(C39/G39,2)</f>
        <v>0.78</v>
      </c>
      <c r="D40" s="13">
        <f>ROUND(D39/G39,2)</f>
        <v>0</v>
      </c>
      <c r="E40" s="13">
        <f>ROUND(E39/G39,2)</f>
        <v>0.17</v>
      </c>
      <c r="F40" s="13">
        <f>ROUND(F39/G39,2)</f>
        <v>0.05</v>
      </c>
      <c r="G40" s="14"/>
      <c r="H40" s="14"/>
      <c r="I40" s="18"/>
      <c r="J40" s="18"/>
    </row>
    <row r="41" spans="1:10" x14ac:dyDescent="0.25">
      <c r="A41" s="2" t="s">
        <v>53</v>
      </c>
      <c r="B41" s="2"/>
      <c r="C41" s="14"/>
      <c r="D41" s="14"/>
      <c r="E41" s="14"/>
      <c r="F41" s="14"/>
      <c r="G41" s="14"/>
      <c r="H41" s="14"/>
      <c r="I41" s="18"/>
      <c r="J41" s="18"/>
    </row>
    <row r="42" spans="1:10" x14ac:dyDescent="0.25">
      <c r="C42" s="9"/>
      <c r="D42" s="9"/>
      <c r="E42" s="9"/>
      <c r="F42" s="9"/>
      <c r="G42" s="9"/>
      <c r="H42" s="9"/>
      <c r="I42" s="10"/>
      <c r="J42" s="10"/>
    </row>
    <row r="43" spans="1:10" x14ac:dyDescent="0.25">
      <c r="C43" s="9"/>
      <c r="D43" s="9"/>
      <c r="E43" s="9"/>
      <c r="F43" s="9"/>
      <c r="G43" s="9"/>
      <c r="H43" s="9"/>
      <c r="I43" s="10"/>
      <c r="J43" s="10"/>
    </row>
    <row r="44" spans="1:10" x14ac:dyDescent="0.25">
      <c r="C44" s="9"/>
      <c r="D44" s="9"/>
      <c r="E44" s="9"/>
      <c r="F44" s="9"/>
      <c r="G44" s="9"/>
      <c r="H44" s="9"/>
      <c r="I44" s="10"/>
      <c r="J44" s="10"/>
    </row>
    <row r="45" spans="1:10" x14ac:dyDescent="0.25">
      <c r="A45" s="26" t="s">
        <v>54</v>
      </c>
      <c r="B45" s="26"/>
      <c r="C45" s="12" t="s">
        <v>8</v>
      </c>
      <c r="D45" s="12" t="s">
        <v>9</v>
      </c>
      <c r="E45" s="12" t="s">
        <v>10</v>
      </c>
      <c r="F45" s="12" t="s">
        <v>11</v>
      </c>
      <c r="G45" s="12" t="s">
        <v>12</v>
      </c>
      <c r="H45" s="15" t="s">
        <v>13</v>
      </c>
      <c r="I45" s="18"/>
      <c r="J45" s="18"/>
    </row>
    <row r="46" spans="1:10" x14ac:dyDescent="0.25">
      <c r="A46" s="21" t="s">
        <v>55</v>
      </c>
      <c r="B46" s="21"/>
      <c r="C46" s="11">
        <v>113730</v>
      </c>
      <c r="D46" s="11">
        <v>0</v>
      </c>
      <c r="E46" s="11">
        <v>33052</v>
      </c>
      <c r="F46" s="11">
        <v>0</v>
      </c>
      <c r="G46" s="11">
        <f>SUM(C46:F46)</f>
        <v>146782</v>
      </c>
      <c r="H46" s="17">
        <f>ROUND(G46/872,2)</f>
        <v>168.33</v>
      </c>
      <c r="I46" s="10"/>
      <c r="J46" s="10"/>
    </row>
    <row r="47" spans="1:10" x14ac:dyDescent="0.25">
      <c r="A47" s="21" t="s">
        <v>56</v>
      </c>
      <c r="B47" s="21"/>
      <c r="C47" s="11">
        <v>68940</v>
      </c>
      <c r="D47" s="11">
        <v>0</v>
      </c>
      <c r="E47" s="11">
        <v>6420</v>
      </c>
      <c r="F47" s="11">
        <v>11345</v>
      </c>
      <c r="G47" s="11">
        <f>SUM(C47:F47)</f>
        <v>86705</v>
      </c>
      <c r="H47" s="17">
        <f>ROUND(G47/872,2)</f>
        <v>99.43</v>
      </c>
      <c r="I47" s="10"/>
      <c r="J47" s="10"/>
    </row>
    <row r="48" spans="1:10" x14ac:dyDescent="0.25">
      <c r="A48" s="21" t="s">
        <v>57</v>
      </c>
      <c r="B48" s="21"/>
      <c r="C48" s="11">
        <v>0</v>
      </c>
      <c r="D48" s="11">
        <v>0</v>
      </c>
      <c r="E48" s="11">
        <v>0</v>
      </c>
      <c r="F48" s="11">
        <v>0</v>
      </c>
      <c r="G48" s="11">
        <f>SUM(C48:F48)</f>
        <v>0</v>
      </c>
      <c r="H48" s="17">
        <f>ROUND(G48/872,2)</f>
        <v>0</v>
      </c>
      <c r="I48" s="10"/>
      <c r="J48" s="10"/>
    </row>
    <row r="49" spans="1:10" x14ac:dyDescent="0.25">
      <c r="C49" s="9"/>
      <c r="D49" s="9"/>
      <c r="E49" s="9"/>
      <c r="F49" s="9"/>
      <c r="G49" s="9"/>
      <c r="H49" s="9"/>
      <c r="I49" s="10"/>
      <c r="J49" s="10"/>
    </row>
    <row r="50" spans="1:10" x14ac:dyDescent="0.25">
      <c r="C50" s="9"/>
      <c r="D50" s="9"/>
      <c r="E50" s="9"/>
      <c r="F50" s="9"/>
      <c r="G50" s="9"/>
      <c r="H50" s="9"/>
      <c r="I50" s="10"/>
      <c r="J50" s="10"/>
    </row>
    <row r="51" spans="1:10" x14ac:dyDescent="0.25">
      <c r="C51" s="9"/>
      <c r="D51" s="9"/>
      <c r="E51" s="9"/>
      <c r="F51" s="9"/>
      <c r="G51" s="9"/>
      <c r="H51" s="9"/>
      <c r="I51" s="10"/>
      <c r="J51" s="10"/>
    </row>
    <row r="52" spans="1:10" x14ac:dyDescent="0.25">
      <c r="C52" s="9"/>
      <c r="D52" s="9"/>
      <c r="E52" s="9"/>
      <c r="F52" s="9"/>
      <c r="G52" s="9"/>
      <c r="H52" s="9"/>
      <c r="I52" s="10"/>
      <c r="J52" s="10"/>
    </row>
    <row r="53" spans="1:10" x14ac:dyDescent="0.25">
      <c r="A53" s="26" t="s">
        <v>58</v>
      </c>
      <c r="B53" s="26"/>
      <c r="C53" s="15" t="s">
        <v>2</v>
      </c>
      <c r="D53" s="15">
        <v>2024</v>
      </c>
      <c r="E53" s="15" t="s">
        <v>60</v>
      </c>
      <c r="F53" s="14"/>
      <c r="G53" s="15" t="s">
        <v>61</v>
      </c>
      <c r="H53" s="15" t="s">
        <v>2</v>
      </c>
      <c r="I53" s="13" t="s">
        <v>62</v>
      </c>
      <c r="J53" s="13" t="s">
        <v>60</v>
      </c>
    </row>
    <row r="54" spans="1:10" x14ac:dyDescent="0.25">
      <c r="A54" s="21" t="s">
        <v>59</v>
      </c>
      <c r="B54" s="21"/>
      <c r="C54" s="16">
        <f>ROUND(0.6909, 4)</f>
        <v>0.69089999999999996</v>
      </c>
      <c r="D54" s="16">
        <f>ROUND(0.7346, 4)</f>
        <v>0.73460000000000003</v>
      </c>
      <c r="E54" s="16">
        <f>ROUND(0.7856, 4)</f>
        <v>0.78559999999999997</v>
      </c>
      <c r="F54" s="9"/>
      <c r="G54" s="15" t="s">
        <v>63</v>
      </c>
      <c r="H54" s="27" t="s">
        <v>64</v>
      </c>
      <c r="I54" s="24" t="s">
        <v>65</v>
      </c>
      <c r="J54" s="24" t="s">
        <v>66</v>
      </c>
    </row>
    <row r="55" spans="1:10" x14ac:dyDescent="0.25">
      <c r="A55" s="21" t="s">
        <v>67</v>
      </c>
      <c r="B55" s="21"/>
      <c r="C55" s="16">
        <f>ROUND(0.6909, 4)</f>
        <v>0.69089999999999996</v>
      </c>
      <c r="D55" s="16">
        <f>ROUND(0.6952, 4)</f>
        <v>0.69520000000000004</v>
      </c>
      <c r="E55" s="16">
        <f>ROUND(0.7702, 4)</f>
        <v>0.7702</v>
      </c>
      <c r="F55" s="9"/>
      <c r="G55" s="15" t="s">
        <v>68</v>
      </c>
      <c r="H55" s="28"/>
      <c r="I55" s="25"/>
      <c r="J55" s="25"/>
    </row>
    <row r="56" spans="1:10" x14ac:dyDescent="0.25">
      <c r="C56" s="9"/>
      <c r="D56" s="9"/>
      <c r="E56" s="9"/>
      <c r="F56" s="9"/>
      <c r="G56" s="9"/>
      <c r="H56" s="9"/>
      <c r="I56" s="10"/>
      <c r="J56" s="10"/>
    </row>
    <row r="57" spans="1:10" x14ac:dyDescent="0.25">
      <c r="C57" s="9"/>
      <c r="D57" s="9"/>
      <c r="E57" s="9"/>
      <c r="F57" s="9"/>
      <c r="G57" s="9"/>
      <c r="H57" s="9"/>
      <c r="I57" s="10"/>
      <c r="J57" s="10"/>
    </row>
    <row r="58" spans="1:10" x14ac:dyDescent="0.25">
      <c r="C58" s="9"/>
      <c r="D58" s="9"/>
      <c r="E58" s="9"/>
      <c r="F58" s="9"/>
      <c r="G58" s="9"/>
      <c r="H58" s="9"/>
      <c r="I58" s="10"/>
      <c r="J58" s="10"/>
    </row>
    <row r="59" spans="1:10" x14ac:dyDescent="0.25">
      <c r="A59" s="26" t="s">
        <v>69</v>
      </c>
      <c r="B59" s="26"/>
      <c r="C59" s="15" t="s">
        <v>2</v>
      </c>
      <c r="D59" s="15" t="s">
        <v>320</v>
      </c>
      <c r="E59" s="15" t="s">
        <v>71</v>
      </c>
      <c r="F59" s="15" t="s">
        <v>72</v>
      </c>
      <c r="G59" s="15" t="s">
        <v>73</v>
      </c>
      <c r="H59" s="14"/>
      <c r="I59" s="18"/>
      <c r="J59" s="18"/>
    </row>
    <row r="60" spans="1:10" x14ac:dyDescent="0.25">
      <c r="A60" s="21" t="s">
        <v>74</v>
      </c>
      <c r="B60" s="21"/>
      <c r="C60" s="17">
        <v>79.06</v>
      </c>
      <c r="D60" s="17">
        <v>87.22</v>
      </c>
      <c r="E60" s="17">
        <v>96.15</v>
      </c>
      <c r="F60" s="17">
        <v>57.94</v>
      </c>
      <c r="G60" s="17">
        <f>12/12*C60</f>
        <v>79.06</v>
      </c>
      <c r="H60" s="9"/>
      <c r="I60" s="10"/>
      <c r="J60" s="10"/>
    </row>
    <row r="61" spans="1:10" x14ac:dyDescent="0.25">
      <c r="A61" s="21" t="s">
        <v>75</v>
      </c>
      <c r="B61" s="21"/>
      <c r="C61" s="17">
        <v>26.64</v>
      </c>
      <c r="D61" s="17">
        <v>42.39</v>
      </c>
      <c r="E61" s="17">
        <v>62.28</v>
      </c>
      <c r="F61" s="17">
        <v>66.599999999999994</v>
      </c>
      <c r="G61" s="17">
        <f>12/12*C61</f>
        <v>26.64</v>
      </c>
      <c r="H61" s="9"/>
      <c r="I61" s="10"/>
      <c r="J61" s="10"/>
    </row>
    <row r="62" spans="1:10" x14ac:dyDescent="0.25">
      <c r="A62" s="21" t="s">
        <v>76</v>
      </c>
      <c r="B62" s="21"/>
      <c r="C62" s="17">
        <v>168.33</v>
      </c>
      <c r="D62" s="17">
        <v>208.51</v>
      </c>
      <c r="E62" s="17">
        <v>300.02</v>
      </c>
      <c r="F62" s="17">
        <v>295.08</v>
      </c>
      <c r="G62" s="17">
        <f>12/12*C62</f>
        <v>168.33</v>
      </c>
      <c r="H62" s="9"/>
      <c r="I62" s="10"/>
      <c r="J62" s="10"/>
    </row>
    <row r="63" spans="1:10" x14ac:dyDescent="0.25">
      <c r="A63" s="21" t="s">
        <v>77</v>
      </c>
      <c r="B63" s="21"/>
      <c r="C63" s="17">
        <v>99.43</v>
      </c>
      <c r="D63" s="17">
        <v>105.72</v>
      </c>
      <c r="E63" s="17">
        <v>120.96</v>
      </c>
      <c r="F63" s="17">
        <v>83.12</v>
      </c>
      <c r="G63" s="17">
        <f>12/12*C63</f>
        <v>99.43</v>
      </c>
      <c r="H63" s="9"/>
      <c r="I63" s="10"/>
      <c r="J63" s="10"/>
    </row>
    <row r="64" spans="1:10" x14ac:dyDescent="0.25">
      <c r="C64" s="9"/>
      <c r="D64" s="9"/>
      <c r="E64" s="9"/>
      <c r="F64" s="9"/>
      <c r="G64" s="9"/>
      <c r="H64" s="9"/>
      <c r="I64" s="10"/>
      <c r="J64" s="10"/>
    </row>
    <row r="65" spans="1:10" x14ac:dyDescent="0.25">
      <c r="C65" s="9"/>
      <c r="D65" s="9"/>
      <c r="E65" s="9"/>
      <c r="F65" s="9"/>
      <c r="G65" s="9"/>
      <c r="H65" s="9"/>
      <c r="I65" s="10"/>
      <c r="J65" s="10"/>
    </row>
    <row r="66" spans="1:10" x14ac:dyDescent="0.25">
      <c r="A66" s="22" t="s">
        <v>61</v>
      </c>
      <c r="B66" s="23"/>
      <c r="C66" s="9"/>
      <c r="D66" s="9"/>
      <c r="E66" s="9"/>
      <c r="F66" s="9"/>
      <c r="G66" s="9"/>
      <c r="H66" s="9"/>
      <c r="I66" s="10"/>
      <c r="J66" s="10"/>
    </row>
    <row r="67" spans="1:10" x14ac:dyDescent="0.25">
      <c r="A67" s="3" t="s">
        <v>78</v>
      </c>
      <c r="B67" s="1" t="s">
        <v>321</v>
      </c>
      <c r="C67" s="9"/>
      <c r="D67" s="9"/>
      <c r="E67" s="9"/>
      <c r="F67" s="9"/>
      <c r="G67" s="9"/>
      <c r="H67" s="9"/>
      <c r="I67" s="10"/>
      <c r="J67" s="10"/>
    </row>
    <row r="68" spans="1:10" x14ac:dyDescent="0.25">
      <c r="A68" s="3" t="s">
        <v>71</v>
      </c>
      <c r="B68" s="1" t="s">
        <v>80</v>
      </c>
      <c r="C68" s="9"/>
      <c r="D68" s="9"/>
      <c r="E68" s="9"/>
      <c r="F68" s="9"/>
      <c r="G68" s="9"/>
      <c r="H68" s="9"/>
      <c r="I68" s="10"/>
      <c r="J68" s="10"/>
    </row>
    <row r="69" spans="1:10" x14ac:dyDescent="0.25">
      <c r="A69" s="3" t="s">
        <v>72</v>
      </c>
      <c r="B69" s="1" t="s">
        <v>81</v>
      </c>
      <c r="C69" s="9"/>
      <c r="D69" s="9"/>
      <c r="E69" s="9"/>
      <c r="F69" s="9"/>
      <c r="G69" s="9"/>
      <c r="H69" s="9"/>
      <c r="I69" s="10"/>
      <c r="J69" s="10"/>
    </row>
    <row r="70" spans="1:10" x14ac:dyDescent="0.25">
      <c r="A70" s="3" t="s">
        <v>73</v>
      </c>
      <c r="B70" s="1" t="s">
        <v>82</v>
      </c>
      <c r="C70" s="9"/>
      <c r="D70" s="9"/>
      <c r="E70" s="9"/>
      <c r="F70" s="9"/>
      <c r="G70" s="9"/>
      <c r="H70" s="9"/>
      <c r="I70" s="10"/>
      <c r="J70" s="10"/>
    </row>
    <row r="71" spans="1:10" x14ac:dyDescent="0.25">
      <c r="C71" s="9"/>
      <c r="D71" s="9"/>
      <c r="E71" s="9"/>
      <c r="F71" s="9"/>
      <c r="G71" s="9"/>
      <c r="H71" s="9"/>
      <c r="I71" s="10"/>
      <c r="J71" s="10"/>
    </row>
    <row r="72" spans="1:10" x14ac:dyDescent="0.25">
      <c r="C72" s="9"/>
      <c r="D72" s="9"/>
      <c r="E72" s="9"/>
      <c r="F72" s="9"/>
      <c r="G72" s="9"/>
      <c r="H72" s="9"/>
      <c r="I72" s="10"/>
      <c r="J72" s="10"/>
    </row>
    <row r="73" spans="1:10" x14ac:dyDescent="0.25">
      <c r="C73" s="9"/>
      <c r="D73" s="9"/>
      <c r="E73" s="9"/>
      <c r="F73" s="9"/>
      <c r="G73" s="9"/>
      <c r="H73" s="9"/>
      <c r="I73" s="10"/>
      <c r="J73" s="10"/>
    </row>
    <row r="74" spans="1:10" x14ac:dyDescent="0.25">
      <c r="C74" s="9"/>
      <c r="D74" s="9"/>
      <c r="E74" s="9"/>
      <c r="F74" s="9"/>
      <c r="G74" s="9"/>
      <c r="H74" s="9"/>
      <c r="I74" s="10"/>
      <c r="J74" s="10"/>
    </row>
    <row r="75" spans="1:10" x14ac:dyDescent="0.25">
      <c r="C75" s="9"/>
      <c r="D75" s="9"/>
      <c r="E75" s="9"/>
      <c r="F75" s="9"/>
      <c r="G75" s="9"/>
      <c r="H75" s="9"/>
      <c r="I75" s="10"/>
      <c r="J75" s="10"/>
    </row>
    <row r="76" spans="1:10" x14ac:dyDescent="0.25">
      <c r="C76" s="9"/>
      <c r="D76" s="9"/>
      <c r="E76" s="9"/>
      <c r="F76" s="9"/>
      <c r="G76" s="9"/>
      <c r="H76" s="9"/>
      <c r="I76" s="10"/>
      <c r="J76" s="10"/>
    </row>
  </sheetData>
  <mergeCells count="19">
    <mergeCell ref="C7:G7"/>
    <mergeCell ref="A39:B39"/>
    <mergeCell ref="A40:B40"/>
    <mergeCell ref="A45:B45"/>
    <mergeCell ref="A46:B46"/>
    <mergeCell ref="J54:J55"/>
    <mergeCell ref="A55:B55"/>
    <mergeCell ref="A59:B59"/>
    <mergeCell ref="A60:B60"/>
    <mergeCell ref="A47:B47"/>
    <mergeCell ref="A48:B48"/>
    <mergeCell ref="A53:B53"/>
    <mergeCell ref="A54:B54"/>
    <mergeCell ref="H54:H55"/>
    <mergeCell ref="A61:B61"/>
    <mergeCell ref="A62:B62"/>
    <mergeCell ref="A63:B63"/>
    <mergeCell ref="A66:B66"/>
    <mergeCell ref="I54:I55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2:J76"/>
  <sheetViews>
    <sheetView workbookViewId="0">
      <selection activeCell="H5" sqref="H5"/>
    </sheetView>
  </sheetViews>
  <sheetFormatPr defaultRowHeight="15" x14ac:dyDescent="0.25"/>
  <cols>
    <col min="1" max="1" width="28.42578125" bestFit="1" customWidth="1"/>
    <col min="2" max="2" width="59.5703125" bestFit="1" customWidth="1"/>
    <col min="3" max="3" width="12.7109375" bestFit="1" customWidth="1"/>
    <col min="4" max="4" width="20.85546875" bestFit="1" customWidth="1"/>
    <col min="5" max="5" width="13.85546875" bestFit="1" customWidth="1"/>
    <col min="6" max="6" width="8.5703125" bestFit="1" customWidth="1"/>
    <col min="7" max="7" width="47.7109375" bestFit="1" customWidth="1"/>
    <col min="8" max="9" width="16.7109375" bestFit="1" customWidth="1"/>
    <col min="10" max="10" width="24.42578125" bestFit="1" customWidth="1"/>
  </cols>
  <sheetData>
    <row r="2" spans="1:10" ht="18.75" x14ac:dyDescent="0.3">
      <c r="A2" s="3" t="s">
        <v>0</v>
      </c>
      <c r="B2" s="4" t="s">
        <v>322</v>
      </c>
    </row>
    <row r="3" spans="1:10" x14ac:dyDescent="0.25">
      <c r="A3" s="3" t="s">
        <v>2</v>
      </c>
      <c r="B3" s="1" t="s">
        <v>3</v>
      </c>
    </row>
    <row r="4" spans="1:10" x14ac:dyDescent="0.25">
      <c r="A4" s="3" t="s">
        <v>4</v>
      </c>
      <c r="B4" s="20">
        <v>1228</v>
      </c>
    </row>
    <row r="7" spans="1:10" x14ac:dyDescent="0.25">
      <c r="C7" s="22" t="s">
        <v>5</v>
      </c>
      <c r="D7" s="21"/>
      <c r="E7" s="21"/>
      <c r="F7" s="21"/>
      <c r="G7" s="21"/>
    </row>
    <row r="8" spans="1:10" x14ac:dyDescent="0.25">
      <c r="A8" s="3" t="s">
        <v>6</v>
      </c>
      <c r="B8" s="3" t="s">
        <v>7</v>
      </c>
      <c r="C8" s="15" t="s">
        <v>8</v>
      </c>
      <c r="D8" s="15" t="s">
        <v>9</v>
      </c>
      <c r="E8" s="15" t="s">
        <v>10</v>
      </c>
      <c r="F8" s="15" t="s">
        <v>11</v>
      </c>
      <c r="G8" s="15" t="s">
        <v>12</v>
      </c>
      <c r="H8" s="15" t="s">
        <v>13</v>
      </c>
      <c r="I8" s="15" t="s">
        <v>14</v>
      </c>
      <c r="J8" s="15" t="s">
        <v>15</v>
      </c>
    </row>
    <row r="9" spans="1:10" x14ac:dyDescent="0.25">
      <c r="A9" s="1" t="s">
        <v>16</v>
      </c>
      <c r="B9" s="1" t="s">
        <v>17</v>
      </c>
      <c r="C9" s="11"/>
      <c r="D9" s="11"/>
      <c r="E9" s="11">
        <v>67</v>
      </c>
      <c r="F9" s="11"/>
      <c r="G9" s="11">
        <f t="shared" ref="G9:G44" si="0">SUM(C9:F9)</f>
        <v>67</v>
      </c>
      <c r="H9" s="17">
        <f t="shared" ref="H9:H44" si="1">ROUND(G9/1228,2)</f>
        <v>0.05</v>
      </c>
      <c r="I9" s="16">
        <f t="shared" ref="I9:I44" si="2">ROUND(G9/$G$45,3)</f>
        <v>0</v>
      </c>
      <c r="J9" s="16">
        <f>ROUND(G9/25-1,2)</f>
        <v>1.68</v>
      </c>
    </row>
    <row r="10" spans="1:10" x14ac:dyDescent="0.25">
      <c r="A10" s="1" t="s">
        <v>16</v>
      </c>
      <c r="B10" s="1" t="s">
        <v>19</v>
      </c>
      <c r="C10" s="11">
        <v>32200</v>
      </c>
      <c r="D10" s="11"/>
      <c r="E10" s="11">
        <v>4699</v>
      </c>
      <c r="F10" s="11"/>
      <c r="G10" s="11">
        <f t="shared" si="0"/>
        <v>36899</v>
      </c>
      <c r="H10" s="17">
        <f t="shared" si="1"/>
        <v>30.05</v>
      </c>
      <c r="I10" s="16">
        <f t="shared" si="2"/>
        <v>0.06</v>
      </c>
      <c r="J10" s="16">
        <f>ROUND(G10/49086-1,2)</f>
        <v>-0.25</v>
      </c>
    </row>
    <row r="11" spans="1:10" x14ac:dyDescent="0.25">
      <c r="A11" s="1" t="s">
        <v>16</v>
      </c>
      <c r="B11" s="1" t="s">
        <v>20</v>
      </c>
      <c r="C11" s="11">
        <v>51370</v>
      </c>
      <c r="D11" s="11"/>
      <c r="E11" s="11"/>
      <c r="F11" s="11"/>
      <c r="G11" s="11">
        <f t="shared" si="0"/>
        <v>51370</v>
      </c>
      <c r="H11" s="17">
        <f t="shared" si="1"/>
        <v>41.83</v>
      </c>
      <c r="I11" s="16">
        <f t="shared" si="2"/>
        <v>8.4000000000000005E-2</v>
      </c>
      <c r="J11" s="16">
        <f>ROUND(G11/57750-1,2)</f>
        <v>-0.11</v>
      </c>
    </row>
    <row r="12" spans="1:10" x14ac:dyDescent="0.25">
      <c r="A12" s="1" t="s">
        <v>16</v>
      </c>
      <c r="B12" s="1" t="s">
        <v>21</v>
      </c>
      <c r="C12" s="11"/>
      <c r="D12" s="11"/>
      <c r="E12" s="11">
        <v>119</v>
      </c>
      <c r="F12" s="11"/>
      <c r="G12" s="11">
        <f t="shared" si="0"/>
        <v>119</v>
      </c>
      <c r="H12" s="17">
        <f t="shared" si="1"/>
        <v>0.1</v>
      </c>
      <c r="I12" s="16">
        <f t="shared" si="2"/>
        <v>0</v>
      </c>
      <c r="J12" s="16">
        <f>ROUND(G12/185-1,2)</f>
        <v>-0.36</v>
      </c>
    </row>
    <row r="13" spans="1:10" x14ac:dyDescent="0.25">
      <c r="A13" s="1" t="s">
        <v>16</v>
      </c>
      <c r="B13" s="1" t="s">
        <v>22</v>
      </c>
      <c r="C13" s="11"/>
      <c r="D13" s="11"/>
      <c r="E13" s="11">
        <v>794</v>
      </c>
      <c r="F13" s="11"/>
      <c r="G13" s="11">
        <f t="shared" si="0"/>
        <v>794</v>
      </c>
      <c r="H13" s="17">
        <f t="shared" si="1"/>
        <v>0.65</v>
      </c>
      <c r="I13" s="16">
        <f t="shared" si="2"/>
        <v>1E-3</v>
      </c>
      <c r="J13" s="16">
        <f>ROUND(G13/1395-1,2)</f>
        <v>-0.43</v>
      </c>
    </row>
    <row r="14" spans="1:10" x14ac:dyDescent="0.25">
      <c r="A14" s="1" t="s">
        <v>16</v>
      </c>
      <c r="B14" s="1" t="s">
        <v>23</v>
      </c>
      <c r="C14" s="11"/>
      <c r="D14" s="11"/>
      <c r="E14" s="11">
        <v>67134</v>
      </c>
      <c r="F14" s="11"/>
      <c r="G14" s="11">
        <f t="shared" si="0"/>
        <v>67134</v>
      </c>
      <c r="H14" s="17">
        <f t="shared" si="1"/>
        <v>54.67</v>
      </c>
      <c r="I14" s="16">
        <f t="shared" si="2"/>
        <v>0.109</v>
      </c>
      <c r="J14" s="16">
        <f>ROUND(G14/48765-1,2)</f>
        <v>0.38</v>
      </c>
    </row>
    <row r="15" spans="1:10" x14ac:dyDescent="0.25">
      <c r="A15" s="1" t="s">
        <v>16</v>
      </c>
      <c r="B15" s="1" t="s">
        <v>24</v>
      </c>
      <c r="C15" s="11">
        <v>52760</v>
      </c>
      <c r="D15" s="11"/>
      <c r="E15" s="11">
        <v>17533</v>
      </c>
      <c r="F15" s="11"/>
      <c r="G15" s="11">
        <f t="shared" si="0"/>
        <v>70293</v>
      </c>
      <c r="H15" s="17">
        <f t="shared" si="1"/>
        <v>57.24</v>
      </c>
      <c r="I15" s="16">
        <f t="shared" si="2"/>
        <v>0.114</v>
      </c>
      <c r="J15" s="16">
        <f>ROUND(G15/74031-1,2)</f>
        <v>-0.05</v>
      </c>
    </row>
    <row r="16" spans="1:10" x14ac:dyDescent="0.25">
      <c r="A16" s="1" t="s">
        <v>16</v>
      </c>
      <c r="B16" s="1" t="s">
        <v>25</v>
      </c>
      <c r="C16" s="11"/>
      <c r="D16" s="11"/>
      <c r="E16" s="11">
        <v>4978</v>
      </c>
      <c r="F16" s="11"/>
      <c r="G16" s="11">
        <f t="shared" si="0"/>
        <v>4978</v>
      </c>
      <c r="H16" s="17">
        <f t="shared" si="1"/>
        <v>4.05</v>
      </c>
      <c r="I16" s="16">
        <f t="shared" si="2"/>
        <v>8.0000000000000002E-3</v>
      </c>
      <c r="J16" s="16">
        <f>ROUND(G16/4828-1,2)</f>
        <v>0.03</v>
      </c>
    </row>
    <row r="17" spans="1:10" x14ac:dyDescent="0.25">
      <c r="A17" s="1" t="s">
        <v>16</v>
      </c>
      <c r="B17" s="1" t="s">
        <v>26</v>
      </c>
      <c r="C17" s="11">
        <v>45440</v>
      </c>
      <c r="D17" s="11"/>
      <c r="E17" s="11"/>
      <c r="F17" s="11"/>
      <c r="G17" s="11">
        <f t="shared" si="0"/>
        <v>45440</v>
      </c>
      <c r="H17" s="17">
        <f t="shared" si="1"/>
        <v>37</v>
      </c>
      <c r="I17" s="16">
        <f t="shared" si="2"/>
        <v>7.3999999999999996E-2</v>
      </c>
      <c r="J17" s="16">
        <f>ROUND(G17/38220-1,2)</f>
        <v>0.19</v>
      </c>
    </row>
    <row r="18" spans="1:10" x14ac:dyDescent="0.25">
      <c r="A18" s="1" t="s">
        <v>16</v>
      </c>
      <c r="B18" s="1" t="s">
        <v>27</v>
      </c>
      <c r="C18" s="11"/>
      <c r="D18" s="11"/>
      <c r="E18" s="11">
        <v>453</v>
      </c>
      <c r="F18" s="11"/>
      <c r="G18" s="11">
        <f t="shared" si="0"/>
        <v>453</v>
      </c>
      <c r="H18" s="17">
        <f t="shared" si="1"/>
        <v>0.37</v>
      </c>
      <c r="I18" s="16">
        <f t="shared" si="2"/>
        <v>1E-3</v>
      </c>
      <c r="J18" s="16">
        <f>ROUND(G18/603-1,2)</f>
        <v>-0.25</v>
      </c>
    </row>
    <row r="19" spans="1:10" x14ac:dyDescent="0.25">
      <c r="A19" s="1" t="s">
        <v>16</v>
      </c>
      <c r="B19" s="1" t="s">
        <v>28</v>
      </c>
      <c r="C19" s="11"/>
      <c r="D19" s="11"/>
      <c r="E19" s="11">
        <v>273</v>
      </c>
      <c r="F19" s="11"/>
      <c r="G19" s="11">
        <f t="shared" si="0"/>
        <v>273</v>
      </c>
      <c r="H19" s="17">
        <f t="shared" si="1"/>
        <v>0.22</v>
      </c>
      <c r="I19" s="16">
        <f t="shared" si="2"/>
        <v>0</v>
      </c>
      <c r="J19" s="16">
        <f>ROUND(G19/276-1,2)</f>
        <v>-0.01</v>
      </c>
    </row>
    <row r="20" spans="1:10" x14ac:dyDescent="0.25">
      <c r="A20" s="1" t="s">
        <v>16</v>
      </c>
      <c r="B20" s="1" t="s">
        <v>29</v>
      </c>
      <c r="C20" s="11"/>
      <c r="D20" s="11"/>
      <c r="E20" s="11">
        <v>58</v>
      </c>
      <c r="F20" s="11"/>
      <c r="G20" s="11">
        <f t="shared" si="0"/>
        <v>58</v>
      </c>
      <c r="H20" s="17">
        <f t="shared" si="1"/>
        <v>0.05</v>
      </c>
      <c r="I20" s="16">
        <f t="shared" si="2"/>
        <v>0</v>
      </c>
      <c r="J20" s="16">
        <f>ROUND(G20/100-1,2)</f>
        <v>-0.42</v>
      </c>
    </row>
    <row r="21" spans="1:10" x14ac:dyDescent="0.25">
      <c r="A21" s="1" t="s">
        <v>16</v>
      </c>
      <c r="B21" s="1" t="s">
        <v>30</v>
      </c>
      <c r="C21" s="11"/>
      <c r="D21" s="11"/>
      <c r="E21" s="11">
        <v>2788</v>
      </c>
      <c r="F21" s="11"/>
      <c r="G21" s="11">
        <f t="shared" si="0"/>
        <v>2788</v>
      </c>
      <c r="H21" s="17">
        <f t="shared" si="1"/>
        <v>2.27</v>
      </c>
      <c r="I21" s="16">
        <f t="shared" si="2"/>
        <v>5.0000000000000001E-3</v>
      </c>
      <c r="J21" s="16">
        <f>ROUND(G21/2334-1,2)</f>
        <v>0.19</v>
      </c>
    </row>
    <row r="22" spans="1:10" x14ac:dyDescent="0.25">
      <c r="A22" s="1" t="s">
        <v>16</v>
      </c>
      <c r="B22" s="1" t="s">
        <v>31</v>
      </c>
      <c r="C22" s="11"/>
      <c r="D22" s="11"/>
      <c r="E22" s="11">
        <v>458</v>
      </c>
      <c r="F22" s="11"/>
      <c r="G22" s="11">
        <f t="shared" si="0"/>
        <v>458</v>
      </c>
      <c r="H22" s="17">
        <f t="shared" si="1"/>
        <v>0.37</v>
      </c>
      <c r="I22" s="16">
        <f t="shared" si="2"/>
        <v>1E-3</v>
      </c>
      <c r="J22" s="16">
        <f>ROUND(G22/310-1,2)</f>
        <v>0.48</v>
      </c>
    </row>
    <row r="23" spans="1:10" x14ac:dyDescent="0.25">
      <c r="A23" s="1" t="s">
        <v>16</v>
      </c>
      <c r="B23" s="1" t="s">
        <v>33</v>
      </c>
      <c r="C23" s="11"/>
      <c r="D23" s="11"/>
      <c r="E23" s="11">
        <v>1237</v>
      </c>
      <c r="F23" s="11"/>
      <c r="G23" s="11">
        <f t="shared" si="0"/>
        <v>1237</v>
      </c>
      <c r="H23" s="17">
        <f t="shared" si="1"/>
        <v>1.01</v>
      </c>
      <c r="I23" s="16">
        <f t="shared" si="2"/>
        <v>2E-3</v>
      </c>
      <c r="J23" s="16">
        <f>ROUND(G23/1820-1,2)</f>
        <v>-0.32</v>
      </c>
    </row>
    <row r="24" spans="1:10" x14ac:dyDescent="0.25">
      <c r="A24" s="1" t="s">
        <v>16</v>
      </c>
      <c r="B24" s="1" t="s">
        <v>34</v>
      </c>
      <c r="C24" s="11"/>
      <c r="D24" s="11">
        <v>160</v>
      </c>
      <c r="E24" s="11">
        <v>62</v>
      </c>
      <c r="F24" s="11"/>
      <c r="G24" s="11">
        <f t="shared" si="0"/>
        <v>222</v>
      </c>
      <c r="H24" s="17">
        <f t="shared" si="1"/>
        <v>0.18</v>
      </c>
      <c r="I24" s="16">
        <f t="shared" si="2"/>
        <v>0</v>
      </c>
      <c r="J24" s="16">
        <f>ROUND(G24/179-1,2)</f>
        <v>0.24</v>
      </c>
    </row>
    <row r="25" spans="1:10" x14ac:dyDescent="0.25">
      <c r="A25" s="1" t="s">
        <v>16</v>
      </c>
      <c r="B25" s="1" t="s">
        <v>36</v>
      </c>
      <c r="C25" s="11"/>
      <c r="D25" s="11"/>
      <c r="E25" s="11">
        <v>270</v>
      </c>
      <c r="F25" s="11"/>
      <c r="G25" s="11">
        <f t="shared" si="0"/>
        <v>270</v>
      </c>
      <c r="H25" s="17">
        <f t="shared" si="1"/>
        <v>0.22</v>
      </c>
      <c r="I25" s="16">
        <f t="shared" si="2"/>
        <v>0</v>
      </c>
      <c r="J25" s="16">
        <f>ROUND(G25/556-1,2)</f>
        <v>-0.51</v>
      </c>
    </row>
    <row r="26" spans="1:10" x14ac:dyDescent="0.25">
      <c r="A26" s="1" t="s">
        <v>16</v>
      </c>
      <c r="B26" s="1" t="s">
        <v>35</v>
      </c>
      <c r="C26" s="11"/>
      <c r="D26" s="11"/>
      <c r="E26" s="11">
        <v>864</v>
      </c>
      <c r="F26" s="11"/>
      <c r="G26" s="11">
        <f t="shared" si="0"/>
        <v>864</v>
      </c>
      <c r="H26" s="17">
        <f t="shared" si="1"/>
        <v>0.7</v>
      </c>
      <c r="I26" s="16">
        <f t="shared" si="2"/>
        <v>1E-3</v>
      </c>
      <c r="J26" s="16">
        <f>ROUND(G26/266-1,2)</f>
        <v>2.25</v>
      </c>
    </row>
    <row r="27" spans="1:10" x14ac:dyDescent="0.25">
      <c r="A27" s="1" t="s">
        <v>16</v>
      </c>
      <c r="B27" s="1" t="s">
        <v>37</v>
      </c>
      <c r="C27" s="11"/>
      <c r="D27" s="11"/>
      <c r="E27" s="11">
        <v>1687</v>
      </c>
      <c r="F27" s="11"/>
      <c r="G27" s="11">
        <f t="shared" si="0"/>
        <v>1687</v>
      </c>
      <c r="H27" s="17">
        <f t="shared" si="1"/>
        <v>1.37</v>
      </c>
      <c r="I27" s="16">
        <f t="shared" si="2"/>
        <v>3.0000000000000001E-3</v>
      </c>
      <c r="J27" s="16">
        <f>ROUND(G27/1123-1,2)</f>
        <v>0.5</v>
      </c>
    </row>
    <row r="28" spans="1:10" x14ac:dyDescent="0.25">
      <c r="A28" s="1" t="s">
        <v>16</v>
      </c>
      <c r="B28" s="1" t="s">
        <v>38</v>
      </c>
      <c r="C28" s="11"/>
      <c r="D28" s="11"/>
      <c r="E28" s="11">
        <v>3285</v>
      </c>
      <c r="F28" s="11"/>
      <c r="G28" s="11">
        <f t="shared" si="0"/>
        <v>3285</v>
      </c>
      <c r="H28" s="17">
        <f t="shared" si="1"/>
        <v>2.68</v>
      </c>
      <c r="I28" s="16">
        <f t="shared" si="2"/>
        <v>5.0000000000000001E-3</v>
      </c>
      <c r="J28" s="16">
        <f>ROUND(G28/6182-1,2)</f>
        <v>-0.47</v>
      </c>
    </row>
    <row r="29" spans="1:10" x14ac:dyDescent="0.25">
      <c r="A29" s="1" t="s">
        <v>16</v>
      </c>
      <c r="B29" s="1" t="s">
        <v>39</v>
      </c>
      <c r="C29" s="11"/>
      <c r="D29" s="11"/>
      <c r="E29" s="11">
        <v>6103</v>
      </c>
      <c r="F29" s="11"/>
      <c r="G29" s="11">
        <f t="shared" si="0"/>
        <v>6103</v>
      </c>
      <c r="H29" s="17">
        <f t="shared" si="1"/>
        <v>4.97</v>
      </c>
      <c r="I29" s="16">
        <f t="shared" si="2"/>
        <v>0.01</v>
      </c>
      <c r="J29" s="16">
        <f>ROUND(G29/3214-1,2)</f>
        <v>0.9</v>
      </c>
    </row>
    <row r="30" spans="1:10" x14ac:dyDescent="0.25">
      <c r="A30" s="1" t="s">
        <v>16</v>
      </c>
      <c r="B30" s="1" t="s">
        <v>40</v>
      </c>
      <c r="C30" s="11"/>
      <c r="D30" s="11"/>
      <c r="E30" s="11">
        <v>60929</v>
      </c>
      <c r="F30" s="11"/>
      <c r="G30" s="11">
        <f t="shared" si="0"/>
        <v>60929</v>
      </c>
      <c r="H30" s="17">
        <f t="shared" si="1"/>
        <v>49.62</v>
      </c>
      <c r="I30" s="16">
        <f t="shared" si="2"/>
        <v>9.9000000000000005E-2</v>
      </c>
      <c r="J30" s="16">
        <f>ROUND(G30/48116-1,2)</f>
        <v>0.27</v>
      </c>
    </row>
    <row r="31" spans="1:10" x14ac:dyDescent="0.25">
      <c r="A31" s="1" t="s">
        <v>16</v>
      </c>
      <c r="B31" s="1" t="s">
        <v>41</v>
      </c>
      <c r="C31" s="11"/>
      <c r="D31" s="11"/>
      <c r="E31" s="11">
        <v>4105</v>
      </c>
      <c r="F31" s="11"/>
      <c r="G31" s="11">
        <f t="shared" si="0"/>
        <v>4105</v>
      </c>
      <c r="H31" s="17">
        <f t="shared" si="1"/>
        <v>3.34</v>
      </c>
      <c r="I31" s="16">
        <f t="shared" si="2"/>
        <v>7.0000000000000001E-3</v>
      </c>
      <c r="J31" s="16">
        <f>ROUND(G31/3734-1,2)</f>
        <v>0.1</v>
      </c>
    </row>
    <row r="32" spans="1:10" x14ac:dyDescent="0.25">
      <c r="A32" s="1" t="s">
        <v>16</v>
      </c>
      <c r="B32" s="1" t="s">
        <v>42</v>
      </c>
      <c r="C32" s="11"/>
      <c r="D32" s="11"/>
      <c r="E32" s="11">
        <v>13500</v>
      </c>
      <c r="F32" s="11"/>
      <c r="G32" s="11">
        <f t="shared" si="0"/>
        <v>13500</v>
      </c>
      <c r="H32" s="17">
        <f t="shared" si="1"/>
        <v>10.99</v>
      </c>
      <c r="I32" s="16">
        <f t="shared" si="2"/>
        <v>2.1999999999999999E-2</v>
      </c>
      <c r="J32" s="16">
        <f>ROUND(G32/12195-1,2)</f>
        <v>0.11</v>
      </c>
    </row>
    <row r="33" spans="1:10" x14ac:dyDescent="0.25">
      <c r="A33" s="1" t="s">
        <v>16</v>
      </c>
      <c r="B33" s="1" t="s">
        <v>44</v>
      </c>
      <c r="C33" s="11"/>
      <c r="D33" s="11"/>
      <c r="E33" s="11">
        <v>12965</v>
      </c>
      <c r="F33" s="11"/>
      <c r="G33" s="11">
        <f t="shared" si="0"/>
        <v>12965</v>
      </c>
      <c r="H33" s="17">
        <f t="shared" si="1"/>
        <v>10.56</v>
      </c>
      <c r="I33" s="16">
        <f t="shared" si="2"/>
        <v>2.1000000000000001E-2</v>
      </c>
      <c r="J33" s="16">
        <f>ROUND(G33/13545-1,2)</f>
        <v>-0.04</v>
      </c>
    </row>
    <row r="34" spans="1:10" x14ac:dyDescent="0.25">
      <c r="A34" s="1" t="s">
        <v>16</v>
      </c>
      <c r="B34" s="1" t="s">
        <v>18</v>
      </c>
      <c r="C34" s="11"/>
      <c r="D34" s="11"/>
      <c r="E34" s="11"/>
      <c r="F34" s="11"/>
      <c r="G34" s="11">
        <f t="shared" si="0"/>
        <v>0</v>
      </c>
      <c r="H34" s="17">
        <f t="shared" si="1"/>
        <v>0</v>
      </c>
      <c r="I34" s="16">
        <f t="shared" si="2"/>
        <v>0</v>
      </c>
      <c r="J34" s="16"/>
    </row>
    <row r="35" spans="1:10" x14ac:dyDescent="0.25">
      <c r="A35" s="1" t="s">
        <v>16</v>
      </c>
      <c r="B35" s="1" t="s">
        <v>244</v>
      </c>
      <c r="C35" s="11"/>
      <c r="D35" s="11"/>
      <c r="E35" s="11"/>
      <c r="F35" s="11"/>
      <c r="G35" s="11">
        <f t="shared" si="0"/>
        <v>0</v>
      </c>
      <c r="H35" s="17">
        <f t="shared" si="1"/>
        <v>0</v>
      </c>
      <c r="I35" s="16">
        <f t="shared" si="2"/>
        <v>0</v>
      </c>
      <c r="J35" s="16"/>
    </row>
    <row r="36" spans="1:10" x14ac:dyDescent="0.25">
      <c r="A36" s="1" t="s">
        <v>16</v>
      </c>
      <c r="B36" s="1" t="s">
        <v>32</v>
      </c>
      <c r="C36" s="11"/>
      <c r="D36" s="11"/>
      <c r="E36" s="11"/>
      <c r="F36" s="11"/>
      <c r="G36" s="11">
        <f t="shared" si="0"/>
        <v>0</v>
      </c>
      <c r="H36" s="17">
        <f t="shared" si="1"/>
        <v>0</v>
      </c>
      <c r="I36" s="16">
        <f t="shared" si="2"/>
        <v>0</v>
      </c>
      <c r="J36" s="16">
        <f>ROUND(G36/397-1,2)</f>
        <v>-1</v>
      </c>
    </row>
    <row r="37" spans="1:10" x14ac:dyDescent="0.25">
      <c r="A37" s="1" t="s">
        <v>16</v>
      </c>
      <c r="B37" s="1" t="s">
        <v>87</v>
      </c>
      <c r="C37" s="11"/>
      <c r="D37" s="11"/>
      <c r="E37" s="11"/>
      <c r="F37" s="11"/>
      <c r="G37" s="11">
        <f t="shared" si="0"/>
        <v>0</v>
      </c>
      <c r="H37" s="17">
        <f t="shared" si="1"/>
        <v>0</v>
      </c>
      <c r="I37" s="16">
        <f t="shared" si="2"/>
        <v>0</v>
      </c>
      <c r="J37" s="16"/>
    </row>
    <row r="38" spans="1:10" x14ac:dyDescent="0.25">
      <c r="A38" s="1" t="s">
        <v>16</v>
      </c>
      <c r="B38" s="1" t="s">
        <v>97</v>
      </c>
      <c r="C38" s="11"/>
      <c r="D38" s="11"/>
      <c r="E38" s="11"/>
      <c r="F38" s="11"/>
      <c r="G38" s="11">
        <f t="shared" si="0"/>
        <v>0</v>
      </c>
      <c r="H38" s="17">
        <f t="shared" si="1"/>
        <v>0</v>
      </c>
      <c r="I38" s="16">
        <f t="shared" si="2"/>
        <v>0</v>
      </c>
      <c r="J38" s="16"/>
    </row>
    <row r="39" spans="1:10" x14ac:dyDescent="0.25">
      <c r="A39" s="1" t="s">
        <v>45</v>
      </c>
      <c r="B39" s="1" t="s">
        <v>46</v>
      </c>
      <c r="C39" s="11">
        <v>194270</v>
      </c>
      <c r="D39" s="11"/>
      <c r="E39" s="11"/>
      <c r="F39" s="11">
        <v>160</v>
      </c>
      <c r="G39" s="11">
        <f t="shared" si="0"/>
        <v>194430</v>
      </c>
      <c r="H39" s="17">
        <f t="shared" si="1"/>
        <v>158.33000000000001</v>
      </c>
      <c r="I39" s="16">
        <f t="shared" si="2"/>
        <v>0.317</v>
      </c>
      <c r="J39" s="16">
        <f>ROUND(G39/204040-1,2)</f>
        <v>-0.05</v>
      </c>
    </row>
    <row r="40" spans="1:10" x14ac:dyDescent="0.25">
      <c r="A40" s="1" t="s">
        <v>45</v>
      </c>
      <c r="B40" s="1" t="s">
        <v>47</v>
      </c>
      <c r="C40" s="11"/>
      <c r="D40" s="11"/>
      <c r="E40" s="11">
        <v>33411</v>
      </c>
      <c r="F40" s="11"/>
      <c r="G40" s="11">
        <f t="shared" si="0"/>
        <v>33411</v>
      </c>
      <c r="H40" s="17">
        <f t="shared" si="1"/>
        <v>27.21</v>
      </c>
      <c r="I40" s="16">
        <f t="shared" si="2"/>
        <v>5.3999999999999999E-2</v>
      </c>
      <c r="J40" s="16">
        <f>ROUND(G40/25836-1,2)</f>
        <v>0.28999999999999998</v>
      </c>
    </row>
    <row r="41" spans="1:10" x14ac:dyDescent="0.25">
      <c r="A41" s="1" t="s">
        <v>45</v>
      </c>
      <c r="B41" s="1" t="s">
        <v>48</v>
      </c>
      <c r="C41" s="11"/>
      <c r="D41" s="11"/>
      <c r="E41" s="11"/>
      <c r="F41" s="11"/>
      <c r="G41" s="11">
        <f t="shared" si="0"/>
        <v>0</v>
      </c>
      <c r="H41" s="17">
        <f t="shared" si="1"/>
        <v>0</v>
      </c>
      <c r="I41" s="16">
        <f t="shared" si="2"/>
        <v>0</v>
      </c>
      <c r="J41" s="16"/>
    </row>
    <row r="42" spans="1:10" x14ac:dyDescent="0.25">
      <c r="A42" s="1" t="s">
        <v>49</v>
      </c>
      <c r="B42" s="1" t="s">
        <v>50</v>
      </c>
      <c r="C42" s="11"/>
      <c r="D42" s="11"/>
      <c r="E42" s="11"/>
      <c r="F42" s="11"/>
      <c r="G42" s="11">
        <f t="shared" si="0"/>
        <v>0</v>
      </c>
      <c r="H42" s="17">
        <f t="shared" si="1"/>
        <v>0</v>
      </c>
      <c r="I42" s="16">
        <f t="shared" si="2"/>
        <v>0</v>
      </c>
      <c r="J42" s="16"/>
    </row>
    <row r="43" spans="1:10" x14ac:dyDescent="0.25">
      <c r="A43" s="1" t="s">
        <v>49</v>
      </c>
      <c r="B43" s="1" t="s">
        <v>51</v>
      </c>
      <c r="C43" s="11"/>
      <c r="D43" s="11"/>
      <c r="E43" s="11"/>
      <c r="F43" s="11"/>
      <c r="G43" s="11">
        <f t="shared" si="0"/>
        <v>0</v>
      </c>
      <c r="H43" s="17">
        <f t="shared" si="1"/>
        <v>0</v>
      </c>
      <c r="I43" s="16">
        <f t="shared" si="2"/>
        <v>0</v>
      </c>
      <c r="J43" s="16"/>
    </row>
    <row r="44" spans="1:10" x14ac:dyDescent="0.25">
      <c r="A44" s="1" t="s">
        <v>49</v>
      </c>
      <c r="B44" s="1" t="s">
        <v>52</v>
      </c>
      <c r="C44" s="11"/>
      <c r="D44" s="11"/>
      <c r="E44" s="11"/>
      <c r="F44" s="11"/>
      <c r="G44" s="11">
        <f t="shared" si="0"/>
        <v>0</v>
      </c>
      <c r="H44" s="17">
        <f t="shared" si="1"/>
        <v>0</v>
      </c>
      <c r="I44" s="16">
        <f t="shared" si="2"/>
        <v>0</v>
      </c>
      <c r="J44" s="16"/>
    </row>
    <row r="45" spans="1:10" x14ac:dyDescent="0.25">
      <c r="A45" s="26" t="s">
        <v>12</v>
      </c>
      <c r="B45" s="26"/>
      <c r="C45" s="12">
        <f t="shared" ref="C45:H45" si="3">SUM(C8:C44)</f>
        <v>376040</v>
      </c>
      <c r="D45" s="12">
        <f t="shared" si="3"/>
        <v>160</v>
      </c>
      <c r="E45" s="12">
        <f t="shared" si="3"/>
        <v>237772</v>
      </c>
      <c r="F45" s="12">
        <f t="shared" si="3"/>
        <v>160</v>
      </c>
      <c r="G45" s="12">
        <f t="shared" si="3"/>
        <v>614132</v>
      </c>
      <c r="H45" s="15">
        <f t="shared" si="3"/>
        <v>500.09999999999997</v>
      </c>
      <c r="I45" s="18"/>
      <c r="J45" s="18"/>
    </row>
    <row r="46" spans="1:10" x14ac:dyDescent="0.25">
      <c r="A46" s="26" t="s">
        <v>14</v>
      </c>
      <c r="B46" s="26"/>
      <c r="C46" s="13">
        <f>ROUND(C45/G45,2)</f>
        <v>0.61</v>
      </c>
      <c r="D46" s="13">
        <f>ROUND(D45/G45,2)</f>
        <v>0</v>
      </c>
      <c r="E46" s="13">
        <f>ROUND(E45/G45,2)</f>
        <v>0.39</v>
      </c>
      <c r="F46" s="13">
        <f>ROUND(F45/G45,2)</f>
        <v>0</v>
      </c>
      <c r="G46" s="14"/>
      <c r="H46" s="14"/>
      <c r="I46" s="18"/>
      <c r="J46" s="18"/>
    </row>
    <row r="47" spans="1:10" x14ac:dyDescent="0.25">
      <c r="A47" s="2" t="s">
        <v>53</v>
      </c>
      <c r="B47" s="2"/>
      <c r="C47" s="14"/>
      <c r="D47" s="14"/>
      <c r="E47" s="14"/>
      <c r="F47" s="14"/>
      <c r="G47" s="14"/>
      <c r="H47" s="14"/>
      <c r="I47" s="18"/>
      <c r="J47" s="18"/>
    </row>
    <row r="48" spans="1:10" x14ac:dyDescent="0.25">
      <c r="C48" s="9"/>
      <c r="D48" s="9"/>
      <c r="E48" s="9"/>
      <c r="F48" s="9"/>
      <c r="G48" s="9"/>
      <c r="H48" s="9"/>
      <c r="I48" s="10"/>
      <c r="J48" s="10"/>
    </row>
    <row r="49" spans="1:10" x14ac:dyDescent="0.25">
      <c r="C49" s="9"/>
      <c r="D49" s="9"/>
      <c r="E49" s="9"/>
      <c r="F49" s="9"/>
      <c r="G49" s="9"/>
      <c r="H49" s="9"/>
      <c r="I49" s="10"/>
      <c r="J49" s="10"/>
    </row>
    <row r="50" spans="1:10" x14ac:dyDescent="0.25">
      <c r="C50" s="9"/>
      <c r="D50" s="9"/>
      <c r="E50" s="9"/>
      <c r="F50" s="9"/>
      <c r="G50" s="9"/>
      <c r="H50" s="9"/>
      <c r="I50" s="10"/>
      <c r="J50" s="10"/>
    </row>
    <row r="51" spans="1:10" x14ac:dyDescent="0.25">
      <c r="A51" s="26" t="s">
        <v>54</v>
      </c>
      <c r="B51" s="26"/>
      <c r="C51" s="12" t="s">
        <v>8</v>
      </c>
      <c r="D51" s="12" t="s">
        <v>9</v>
      </c>
      <c r="E51" s="12" t="s">
        <v>10</v>
      </c>
      <c r="F51" s="12" t="s">
        <v>11</v>
      </c>
      <c r="G51" s="12" t="s">
        <v>12</v>
      </c>
      <c r="H51" s="15" t="s">
        <v>13</v>
      </c>
      <c r="I51" s="18"/>
      <c r="J51" s="18"/>
    </row>
    <row r="52" spans="1:10" x14ac:dyDescent="0.25">
      <c r="A52" s="21" t="s">
        <v>55</v>
      </c>
      <c r="B52" s="21"/>
      <c r="C52" s="11">
        <v>181770</v>
      </c>
      <c r="D52" s="11">
        <v>160</v>
      </c>
      <c r="E52" s="11">
        <v>204361</v>
      </c>
      <c r="F52" s="11">
        <v>0</v>
      </c>
      <c r="G52" s="11">
        <f>SUM(C52:F52)</f>
        <v>386291</v>
      </c>
      <c r="H52" s="17">
        <f>ROUND(G52/1228,2)</f>
        <v>314.57</v>
      </c>
      <c r="I52" s="10"/>
      <c r="J52" s="10"/>
    </row>
    <row r="53" spans="1:10" x14ac:dyDescent="0.25">
      <c r="A53" s="21" t="s">
        <v>56</v>
      </c>
      <c r="B53" s="21"/>
      <c r="C53" s="11">
        <v>194270</v>
      </c>
      <c r="D53" s="11">
        <v>0</v>
      </c>
      <c r="E53" s="11">
        <v>33411</v>
      </c>
      <c r="F53" s="11">
        <v>160</v>
      </c>
      <c r="G53" s="11">
        <f>SUM(C53:F53)</f>
        <v>227841</v>
      </c>
      <c r="H53" s="17">
        <f>ROUND(G53/1228,2)</f>
        <v>185.54</v>
      </c>
      <c r="I53" s="10"/>
      <c r="J53" s="10"/>
    </row>
    <row r="54" spans="1:10" x14ac:dyDescent="0.25">
      <c r="A54" s="21" t="s">
        <v>57</v>
      </c>
      <c r="B54" s="21"/>
      <c r="C54" s="11">
        <v>0</v>
      </c>
      <c r="D54" s="11">
        <v>0</v>
      </c>
      <c r="E54" s="11">
        <v>0</v>
      </c>
      <c r="F54" s="11">
        <v>0</v>
      </c>
      <c r="G54" s="11">
        <f>SUM(C54:F54)</f>
        <v>0</v>
      </c>
      <c r="H54" s="17">
        <f>ROUND(G54/1228,2)</f>
        <v>0</v>
      </c>
      <c r="I54" s="10"/>
      <c r="J54" s="10"/>
    </row>
    <row r="55" spans="1:10" x14ac:dyDescent="0.25">
      <c r="C55" s="9"/>
      <c r="D55" s="9"/>
      <c r="E55" s="9"/>
      <c r="F55" s="9"/>
      <c r="G55" s="9"/>
      <c r="H55" s="9"/>
      <c r="I55" s="10"/>
      <c r="J55" s="10"/>
    </row>
    <row r="56" spans="1:10" x14ac:dyDescent="0.25">
      <c r="C56" s="9"/>
      <c r="D56" s="9"/>
      <c r="E56" s="9"/>
      <c r="F56" s="9"/>
      <c r="G56" s="9"/>
      <c r="H56" s="9"/>
      <c r="I56" s="10"/>
      <c r="J56" s="10"/>
    </row>
    <row r="57" spans="1:10" x14ac:dyDescent="0.25">
      <c r="C57" s="9"/>
      <c r="D57" s="9"/>
      <c r="E57" s="9"/>
      <c r="F57" s="9"/>
      <c r="G57" s="9"/>
      <c r="H57" s="9"/>
      <c r="I57" s="10"/>
      <c r="J57" s="10"/>
    </row>
    <row r="58" spans="1:10" x14ac:dyDescent="0.25">
      <c r="C58" s="9"/>
      <c r="D58" s="9"/>
      <c r="E58" s="9"/>
      <c r="F58" s="9"/>
      <c r="G58" s="9"/>
      <c r="H58" s="9"/>
      <c r="I58" s="10"/>
      <c r="J58" s="10"/>
    </row>
    <row r="59" spans="1:10" x14ac:dyDescent="0.25">
      <c r="A59" s="26" t="s">
        <v>58</v>
      </c>
      <c r="B59" s="26"/>
      <c r="C59" s="15" t="s">
        <v>2</v>
      </c>
      <c r="D59" s="15">
        <v>2024</v>
      </c>
      <c r="E59" s="15" t="s">
        <v>60</v>
      </c>
      <c r="F59" s="14"/>
      <c r="G59" s="15" t="s">
        <v>61</v>
      </c>
      <c r="H59" s="15" t="s">
        <v>2</v>
      </c>
      <c r="I59" s="13" t="s">
        <v>62</v>
      </c>
      <c r="J59" s="13" t="s">
        <v>60</v>
      </c>
    </row>
    <row r="60" spans="1:10" x14ac:dyDescent="0.25">
      <c r="A60" s="21" t="s">
        <v>59</v>
      </c>
      <c r="B60" s="21"/>
      <c r="C60" s="16">
        <f>ROUND(0.6441, 4)</f>
        <v>0.64410000000000001</v>
      </c>
      <c r="D60" s="16">
        <f>ROUND(0.6271, 4)</f>
        <v>0.62709999999999999</v>
      </c>
      <c r="E60" s="16">
        <f>ROUND(0.7856, 4)</f>
        <v>0.78559999999999997</v>
      </c>
      <c r="F60" s="9"/>
      <c r="G60" s="15" t="s">
        <v>63</v>
      </c>
      <c r="H60" s="27" t="s">
        <v>64</v>
      </c>
      <c r="I60" s="24" t="s">
        <v>65</v>
      </c>
      <c r="J60" s="24" t="s">
        <v>66</v>
      </c>
    </row>
    <row r="61" spans="1:10" x14ac:dyDescent="0.25">
      <c r="A61" s="21" t="s">
        <v>67</v>
      </c>
      <c r="B61" s="21"/>
      <c r="C61" s="16">
        <f>ROUND(0.6441, 4)</f>
        <v>0.64410000000000001</v>
      </c>
      <c r="D61" s="16">
        <f>ROUND(0.5937, 4)</f>
        <v>0.59370000000000001</v>
      </c>
      <c r="E61" s="16">
        <f>ROUND(0.7702, 4)</f>
        <v>0.7702</v>
      </c>
      <c r="F61" s="9"/>
      <c r="G61" s="15" t="s">
        <v>68</v>
      </c>
      <c r="H61" s="28"/>
      <c r="I61" s="25"/>
      <c r="J61" s="25"/>
    </row>
    <row r="62" spans="1:10" x14ac:dyDescent="0.25">
      <c r="C62" s="9"/>
      <c r="D62" s="9"/>
      <c r="E62" s="9"/>
      <c r="F62" s="9"/>
      <c r="G62" s="9"/>
      <c r="H62" s="9"/>
      <c r="I62" s="10"/>
      <c r="J62" s="10"/>
    </row>
    <row r="63" spans="1:10" x14ac:dyDescent="0.25">
      <c r="C63" s="9"/>
      <c r="D63" s="9"/>
      <c r="E63" s="9"/>
      <c r="F63" s="9"/>
      <c r="G63" s="9"/>
      <c r="H63" s="9"/>
      <c r="I63" s="10"/>
      <c r="J63" s="10"/>
    </row>
    <row r="64" spans="1:10" x14ac:dyDescent="0.25">
      <c r="C64" s="9"/>
      <c r="D64" s="9"/>
      <c r="E64" s="9"/>
      <c r="F64" s="9"/>
      <c r="G64" s="9"/>
      <c r="H64" s="9"/>
      <c r="I64" s="10"/>
      <c r="J64" s="10"/>
    </row>
    <row r="65" spans="1:10" x14ac:dyDescent="0.25">
      <c r="A65" s="26" t="s">
        <v>69</v>
      </c>
      <c r="B65" s="26"/>
      <c r="C65" s="3" t="s">
        <v>2</v>
      </c>
      <c r="D65" s="3" t="s">
        <v>323</v>
      </c>
      <c r="E65" s="3" t="s">
        <v>71</v>
      </c>
      <c r="F65" s="3" t="s">
        <v>72</v>
      </c>
      <c r="G65" s="3" t="s">
        <v>73</v>
      </c>
      <c r="H65" s="2"/>
      <c r="I65" s="2"/>
      <c r="J65" s="2"/>
    </row>
    <row r="66" spans="1:10" x14ac:dyDescent="0.25">
      <c r="A66" s="21" t="s">
        <v>74</v>
      </c>
      <c r="B66" s="21"/>
      <c r="C66" s="1">
        <v>158.33000000000001</v>
      </c>
      <c r="D66" s="1">
        <v>125.79</v>
      </c>
      <c r="E66" s="1">
        <v>96.15</v>
      </c>
      <c r="F66" s="1">
        <v>57.94</v>
      </c>
      <c r="G66" s="1">
        <f>12/12*C66</f>
        <v>158.33000000000001</v>
      </c>
    </row>
    <row r="67" spans="1:10" x14ac:dyDescent="0.25">
      <c r="A67" s="21" t="s">
        <v>75</v>
      </c>
      <c r="B67" s="21"/>
      <c r="C67" s="1">
        <v>37</v>
      </c>
      <c r="D67" s="1">
        <v>46.19</v>
      </c>
      <c r="E67" s="1">
        <v>62.28</v>
      </c>
      <c r="F67" s="1">
        <v>66.599999999999994</v>
      </c>
      <c r="G67" s="1">
        <f>12/12*C67</f>
        <v>37</v>
      </c>
    </row>
    <row r="68" spans="1:10" x14ac:dyDescent="0.25">
      <c r="A68" s="21" t="s">
        <v>76</v>
      </c>
      <c r="B68" s="21"/>
      <c r="C68" s="1">
        <v>314.57</v>
      </c>
      <c r="D68" s="1">
        <v>381.31</v>
      </c>
      <c r="E68" s="1">
        <v>300.02</v>
      </c>
      <c r="F68" s="1">
        <v>295.08</v>
      </c>
      <c r="G68" s="1">
        <f>12/12*C68</f>
        <v>314.57</v>
      </c>
    </row>
    <row r="69" spans="1:10" x14ac:dyDescent="0.25">
      <c r="A69" s="21" t="s">
        <v>77</v>
      </c>
      <c r="B69" s="21"/>
      <c r="C69" s="1">
        <v>185.54</v>
      </c>
      <c r="D69" s="1">
        <v>150.88</v>
      </c>
      <c r="E69" s="1">
        <v>120.96</v>
      </c>
      <c r="F69" s="1">
        <v>83.12</v>
      </c>
      <c r="G69" s="1">
        <f>12/12*C69</f>
        <v>185.54</v>
      </c>
    </row>
    <row r="72" spans="1:10" x14ac:dyDescent="0.25">
      <c r="A72" s="22" t="s">
        <v>61</v>
      </c>
      <c r="B72" s="23"/>
    </row>
    <row r="73" spans="1:10" x14ac:dyDescent="0.25">
      <c r="A73" s="3" t="s">
        <v>78</v>
      </c>
      <c r="B73" s="1" t="s">
        <v>324</v>
      </c>
    </row>
    <row r="74" spans="1:10" x14ac:dyDescent="0.25">
      <c r="A74" s="3" t="s">
        <v>71</v>
      </c>
      <c r="B74" s="1" t="s">
        <v>80</v>
      </c>
    </row>
    <row r="75" spans="1:10" x14ac:dyDescent="0.25">
      <c r="A75" s="3" t="s">
        <v>72</v>
      </c>
      <c r="B75" s="1" t="s">
        <v>81</v>
      </c>
    </row>
    <row r="76" spans="1:10" x14ac:dyDescent="0.25">
      <c r="A76" s="3" t="s">
        <v>73</v>
      </c>
      <c r="B76" s="1" t="s">
        <v>82</v>
      </c>
    </row>
  </sheetData>
  <mergeCells count="19">
    <mergeCell ref="C7:G7"/>
    <mergeCell ref="A45:B45"/>
    <mergeCell ref="A46:B46"/>
    <mergeCell ref="A51:B51"/>
    <mergeCell ref="A52:B52"/>
    <mergeCell ref="J60:J61"/>
    <mergeCell ref="A61:B61"/>
    <mergeCell ref="A65:B65"/>
    <mergeCell ref="A66:B66"/>
    <mergeCell ref="A53:B53"/>
    <mergeCell ref="A54:B54"/>
    <mergeCell ref="A59:B59"/>
    <mergeCell ref="A60:B60"/>
    <mergeCell ref="H60:H61"/>
    <mergeCell ref="A67:B67"/>
    <mergeCell ref="A68:B68"/>
    <mergeCell ref="A69:B69"/>
    <mergeCell ref="A72:B72"/>
    <mergeCell ref="I60:I6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J73"/>
  <sheetViews>
    <sheetView workbookViewId="0">
      <selection activeCell="H5" sqref="H5"/>
    </sheetView>
  </sheetViews>
  <sheetFormatPr defaultRowHeight="15" x14ac:dyDescent="0.25"/>
  <cols>
    <col min="1" max="1" width="28.42578125" bestFit="1" customWidth="1"/>
    <col min="2" max="2" width="59.5703125" bestFit="1" customWidth="1"/>
    <col min="3" max="3" width="12.7109375" bestFit="1" customWidth="1"/>
    <col min="4" max="4" width="23.5703125" bestFit="1" customWidth="1"/>
    <col min="5" max="5" width="13.85546875" bestFit="1" customWidth="1"/>
    <col min="6" max="6" width="8.5703125" bestFit="1" customWidth="1"/>
    <col min="7" max="7" width="47.7109375" bestFit="1" customWidth="1"/>
    <col min="8" max="9" width="16.7109375" bestFit="1" customWidth="1"/>
    <col min="10" max="10" width="24.42578125" bestFit="1" customWidth="1"/>
  </cols>
  <sheetData>
    <row r="2" spans="1:10" ht="18.75" x14ac:dyDescent="0.3">
      <c r="A2" s="3" t="s">
        <v>0</v>
      </c>
      <c r="B2" s="4" t="s">
        <v>106</v>
      </c>
    </row>
    <row r="3" spans="1:10" x14ac:dyDescent="0.25">
      <c r="A3" s="3" t="s">
        <v>2</v>
      </c>
      <c r="B3" s="1" t="s">
        <v>3</v>
      </c>
    </row>
    <row r="4" spans="1:10" x14ac:dyDescent="0.25">
      <c r="A4" s="3" t="s">
        <v>4</v>
      </c>
      <c r="B4" s="20">
        <v>699</v>
      </c>
    </row>
    <row r="7" spans="1:10" x14ac:dyDescent="0.25">
      <c r="C7" s="22" t="s">
        <v>5</v>
      </c>
      <c r="D7" s="21"/>
      <c r="E7" s="21"/>
      <c r="F7" s="21"/>
      <c r="G7" s="21"/>
    </row>
    <row r="8" spans="1:10" x14ac:dyDescent="0.25">
      <c r="A8" s="3" t="s">
        <v>6</v>
      </c>
      <c r="B8" s="3" t="s">
        <v>7</v>
      </c>
      <c r="C8" s="15" t="s">
        <v>8</v>
      </c>
      <c r="D8" s="15" t="s">
        <v>9</v>
      </c>
      <c r="E8" s="15" t="s">
        <v>10</v>
      </c>
      <c r="F8" s="15" t="s">
        <v>11</v>
      </c>
      <c r="G8" s="15" t="s">
        <v>12</v>
      </c>
      <c r="H8" s="15" t="s">
        <v>13</v>
      </c>
      <c r="I8" s="15" t="s">
        <v>14</v>
      </c>
      <c r="J8" s="15" t="s">
        <v>15</v>
      </c>
    </row>
    <row r="9" spans="1:10" x14ac:dyDescent="0.25">
      <c r="A9" s="1" t="s">
        <v>16</v>
      </c>
      <c r="B9" s="1" t="s">
        <v>17</v>
      </c>
      <c r="C9" s="11"/>
      <c r="D9" s="11"/>
      <c r="E9" s="11">
        <v>20</v>
      </c>
      <c r="F9" s="11"/>
      <c r="G9" s="11">
        <f t="shared" ref="G9:G38" si="0">SUM(C9:F9)</f>
        <v>20</v>
      </c>
      <c r="H9" s="17">
        <f t="shared" ref="H9:H38" si="1">ROUND(G9/699,2)</f>
        <v>0.03</v>
      </c>
      <c r="I9" s="16">
        <f t="shared" ref="I9:I38" si="2">ROUND(G9/$G$39,3)</f>
        <v>0</v>
      </c>
      <c r="J9" s="16">
        <f>ROUND(G9/81-1,2)</f>
        <v>-0.75</v>
      </c>
    </row>
    <row r="10" spans="1:10" x14ac:dyDescent="0.25">
      <c r="A10" s="1" t="s">
        <v>16</v>
      </c>
      <c r="B10" s="1" t="s">
        <v>19</v>
      </c>
      <c r="C10" s="11">
        <v>27230</v>
      </c>
      <c r="D10" s="11"/>
      <c r="E10" s="11"/>
      <c r="F10" s="11"/>
      <c r="G10" s="11">
        <f t="shared" si="0"/>
        <v>27230</v>
      </c>
      <c r="H10" s="17">
        <f t="shared" si="1"/>
        <v>38.96</v>
      </c>
      <c r="I10" s="16">
        <f t="shared" si="2"/>
        <v>9.1999999999999998E-2</v>
      </c>
      <c r="J10" s="16">
        <f>ROUND(G10/23785-1,2)</f>
        <v>0.14000000000000001</v>
      </c>
    </row>
    <row r="11" spans="1:10" x14ac:dyDescent="0.25">
      <c r="A11" s="1" t="s">
        <v>16</v>
      </c>
      <c r="B11" s="1" t="s">
        <v>20</v>
      </c>
      <c r="C11" s="11">
        <v>32235</v>
      </c>
      <c r="D11" s="11"/>
      <c r="E11" s="11"/>
      <c r="F11" s="11"/>
      <c r="G11" s="11">
        <f t="shared" si="0"/>
        <v>32235</v>
      </c>
      <c r="H11" s="17">
        <f t="shared" si="1"/>
        <v>46.12</v>
      </c>
      <c r="I11" s="16">
        <f t="shared" si="2"/>
        <v>0.109</v>
      </c>
      <c r="J11" s="16">
        <f>ROUND(G11/34215-1,2)</f>
        <v>-0.06</v>
      </c>
    </row>
    <row r="12" spans="1:10" x14ac:dyDescent="0.25">
      <c r="A12" s="1" t="s">
        <v>16</v>
      </c>
      <c r="B12" s="1" t="s">
        <v>87</v>
      </c>
      <c r="C12" s="11"/>
      <c r="D12" s="11"/>
      <c r="E12" s="11">
        <v>39</v>
      </c>
      <c r="F12" s="11"/>
      <c r="G12" s="11">
        <f t="shared" si="0"/>
        <v>39</v>
      </c>
      <c r="H12" s="17">
        <f t="shared" si="1"/>
        <v>0.06</v>
      </c>
      <c r="I12" s="16">
        <f t="shared" si="2"/>
        <v>0</v>
      </c>
      <c r="J12" s="16">
        <f>ROUND(G12/148-1,2)</f>
        <v>-0.74</v>
      </c>
    </row>
    <row r="13" spans="1:10" x14ac:dyDescent="0.25">
      <c r="A13" s="1" t="s">
        <v>16</v>
      </c>
      <c r="B13" s="1" t="s">
        <v>21</v>
      </c>
      <c r="C13" s="11"/>
      <c r="D13" s="11"/>
      <c r="E13" s="11">
        <v>8</v>
      </c>
      <c r="F13" s="11"/>
      <c r="G13" s="11">
        <f t="shared" si="0"/>
        <v>8</v>
      </c>
      <c r="H13" s="17">
        <f t="shared" si="1"/>
        <v>0.01</v>
      </c>
      <c r="I13" s="16">
        <f t="shared" si="2"/>
        <v>0</v>
      </c>
      <c r="J13" s="16">
        <f>ROUND(G13/145-1,2)</f>
        <v>-0.94</v>
      </c>
    </row>
    <row r="14" spans="1:10" x14ac:dyDescent="0.25">
      <c r="A14" s="1" t="s">
        <v>16</v>
      </c>
      <c r="B14" s="1" t="s">
        <v>22</v>
      </c>
      <c r="C14" s="11"/>
      <c r="D14" s="11"/>
      <c r="E14" s="11">
        <v>900</v>
      </c>
      <c r="F14" s="11"/>
      <c r="G14" s="11">
        <f t="shared" si="0"/>
        <v>900</v>
      </c>
      <c r="H14" s="17">
        <f t="shared" si="1"/>
        <v>1.29</v>
      </c>
      <c r="I14" s="16">
        <f t="shared" si="2"/>
        <v>3.0000000000000001E-3</v>
      </c>
      <c r="J14" s="16">
        <f>ROUND(G14/900-1,2)</f>
        <v>0</v>
      </c>
    </row>
    <row r="15" spans="1:10" x14ac:dyDescent="0.25">
      <c r="A15" s="1" t="s">
        <v>16</v>
      </c>
      <c r="B15" s="1" t="s">
        <v>23</v>
      </c>
      <c r="C15" s="11"/>
      <c r="D15" s="11"/>
      <c r="E15" s="11">
        <v>22140</v>
      </c>
      <c r="F15" s="11"/>
      <c r="G15" s="11">
        <f t="shared" si="0"/>
        <v>22140</v>
      </c>
      <c r="H15" s="17">
        <f t="shared" si="1"/>
        <v>31.67</v>
      </c>
      <c r="I15" s="16">
        <f t="shared" si="2"/>
        <v>7.4999999999999997E-2</v>
      </c>
      <c r="J15" s="16">
        <f>ROUND(G15/52660-1,2)</f>
        <v>-0.57999999999999996</v>
      </c>
    </row>
    <row r="16" spans="1:10" x14ac:dyDescent="0.25">
      <c r="A16" s="1" t="s">
        <v>16</v>
      </c>
      <c r="B16" s="1" t="s">
        <v>24</v>
      </c>
      <c r="C16" s="11">
        <v>28385</v>
      </c>
      <c r="D16" s="11"/>
      <c r="E16" s="11"/>
      <c r="F16" s="11"/>
      <c r="G16" s="11">
        <f t="shared" si="0"/>
        <v>28385</v>
      </c>
      <c r="H16" s="17">
        <f t="shared" si="1"/>
        <v>40.61</v>
      </c>
      <c r="I16" s="16">
        <f t="shared" si="2"/>
        <v>9.6000000000000002E-2</v>
      </c>
      <c r="J16" s="16">
        <f>ROUND(G16/28445-1,2)</f>
        <v>0</v>
      </c>
    </row>
    <row r="17" spans="1:10" x14ac:dyDescent="0.25">
      <c r="A17" s="1" t="s">
        <v>16</v>
      </c>
      <c r="B17" s="1" t="s">
        <v>25</v>
      </c>
      <c r="C17" s="11"/>
      <c r="D17" s="11"/>
      <c r="E17" s="11">
        <v>1310</v>
      </c>
      <c r="F17" s="11"/>
      <c r="G17" s="11">
        <f t="shared" si="0"/>
        <v>1310</v>
      </c>
      <c r="H17" s="17">
        <f t="shared" si="1"/>
        <v>1.87</v>
      </c>
      <c r="I17" s="16">
        <f t="shared" si="2"/>
        <v>4.0000000000000001E-3</v>
      </c>
      <c r="J17" s="16">
        <f>ROUND(G17/1140-1,2)</f>
        <v>0.15</v>
      </c>
    </row>
    <row r="18" spans="1:10" x14ac:dyDescent="0.25">
      <c r="A18" s="1" t="s">
        <v>16</v>
      </c>
      <c r="B18" s="1" t="s">
        <v>26</v>
      </c>
      <c r="C18" s="11">
        <v>36030</v>
      </c>
      <c r="D18" s="11"/>
      <c r="E18" s="11"/>
      <c r="F18" s="11">
        <v>700</v>
      </c>
      <c r="G18" s="11">
        <f t="shared" si="0"/>
        <v>36730</v>
      </c>
      <c r="H18" s="17">
        <f t="shared" si="1"/>
        <v>52.55</v>
      </c>
      <c r="I18" s="16">
        <f t="shared" si="2"/>
        <v>0.125</v>
      </c>
      <c r="J18" s="16">
        <f>ROUND(G18/35220-1,2)</f>
        <v>0.04</v>
      </c>
    </row>
    <row r="19" spans="1:10" x14ac:dyDescent="0.25">
      <c r="A19" s="1" t="s">
        <v>16</v>
      </c>
      <c r="B19" s="1" t="s">
        <v>27</v>
      </c>
      <c r="C19" s="11"/>
      <c r="D19" s="11"/>
      <c r="E19" s="11">
        <v>1294</v>
      </c>
      <c r="F19" s="11"/>
      <c r="G19" s="11">
        <f t="shared" si="0"/>
        <v>1294</v>
      </c>
      <c r="H19" s="17">
        <f t="shared" si="1"/>
        <v>1.85</v>
      </c>
      <c r="I19" s="16">
        <f t="shared" si="2"/>
        <v>4.0000000000000001E-3</v>
      </c>
      <c r="J19" s="16">
        <f>ROUND(G19/275-1,2)</f>
        <v>3.71</v>
      </c>
    </row>
    <row r="20" spans="1:10" x14ac:dyDescent="0.25">
      <c r="A20" s="1" t="s">
        <v>16</v>
      </c>
      <c r="B20" s="1" t="s">
        <v>28</v>
      </c>
      <c r="C20" s="11"/>
      <c r="D20" s="11"/>
      <c r="E20" s="11">
        <v>814</v>
      </c>
      <c r="F20" s="11"/>
      <c r="G20" s="11">
        <f t="shared" si="0"/>
        <v>814</v>
      </c>
      <c r="H20" s="17">
        <f t="shared" si="1"/>
        <v>1.1599999999999999</v>
      </c>
      <c r="I20" s="16">
        <f t="shared" si="2"/>
        <v>3.0000000000000001E-3</v>
      </c>
      <c r="J20" s="16">
        <f>ROUND(G20/191-1,2)</f>
        <v>3.26</v>
      </c>
    </row>
    <row r="21" spans="1:10" x14ac:dyDescent="0.25">
      <c r="A21" s="1" t="s">
        <v>16</v>
      </c>
      <c r="B21" s="1" t="s">
        <v>29</v>
      </c>
      <c r="C21" s="11"/>
      <c r="D21" s="11"/>
      <c r="E21" s="11">
        <v>6</v>
      </c>
      <c r="F21" s="11"/>
      <c r="G21" s="11">
        <f t="shared" si="0"/>
        <v>6</v>
      </c>
      <c r="H21" s="17">
        <f t="shared" si="1"/>
        <v>0.01</v>
      </c>
      <c r="I21" s="16">
        <f t="shared" si="2"/>
        <v>0</v>
      </c>
      <c r="J21" s="16">
        <f>ROUND(G21/6-1,2)</f>
        <v>0</v>
      </c>
    </row>
    <row r="22" spans="1:10" x14ac:dyDescent="0.25">
      <c r="A22" s="1" t="s">
        <v>16</v>
      </c>
      <c r="B22" s="1" t="s">
        <v>30</v>
      </c>
      <c r="C22" s="11"/>
      <c r="D22" s="11"/>
      <c r="E22" s="11">
        <v>670</v>
      </c>
      <c r="F22" s="11"/>
      <c r="G22" s="11">
        <f t="shared" si="0"/>
        <v>670</v>
      </c>
      <c r="H22" s="17">
        <f t="shared" si="1"/>
        <v>0.96</v>
      </c>
      <c r="I22" s="16">
        <f t="shared" si="2"/>
        <v>2E-3</v>
      </c>
      <c r="J22" s="16">
        <f>ROUND(G22/410-1,2)</f>
        <v>0.63</v>
      </c>
    </row>
    <row r="23" spans="1:10" x14ac:dyDescent="0.25">
      <c r="A23" s="1" t="s">
        <v>16</v>
      </c>
      <c r="B23" s="1" t="s">
        <v>31</v>
      </c>
      <c r="C23" s="11"/>
      <c r="D23" s="11"/>
      <c r="E23" s="11">
        <v>610</v>
      </c>
      <c r="F23" s="11"/>
      <c r="G23" s="11">
        <f t="shared" si="0"/>
        <v>610</v>
      </c>
      <c r="H23" s="17">
        <f t="shared" si="1"/>
        <v>0.87</v>
      </c>
      <c r="I23" s="16">
        <f t="shared" si="2"/>
        <v>2E-3</v>
      </c>
      <c r="J23" s="16">
        <f>ROUND(G23/200-1,2)</f>
        <v>2.0499999999999998</v>
      </c>
    </row>
    <row r="24" spans="1:10" x14ac:dyDescent="0.25">
      <c r="A24" s="1" t="s">
        <v>16</v>
      </c>
      <c r="B24" s="1" t="s">
        <v>32</v>
      </c>
      <c r="C24" s="11"/>
      <c r="D24" s="11"/>
      <c r="E24" s="11">
        <v>200</v>
      </c>
      <c r="F24" s="11"/>
      <c r="G24" s="11">
        <f t="shared" si="0"/>
        <v>200</v>
      </c>
      <c r="H24" s="17">
        <f t="shared" si="1"/>
        <v>0.28999999999999998</v>
      </c>
      <c r="I24" s="16">
        <f t="shared" si="2"/>
        <v>1E-3</v>
      </c>
      <c r="J24" s="16"/>
    </row>
    <row r="25" spans="1:10" x14ac:dyDescent="0.25">
      <c r="A25" s="1" t="s">
        <v>16</v>
      </c>
      <c r="B25" s="1" t="s">
        <v>33</v>
      </c>
      <c r="C25" s="11"/>
      <c r="D25" s="11"/>
      <c r="E25" s="11">
        <v>610</v>
      </c>
      <c r="F25" s="11"/>
      <c r="G25" s="11">
        <f t="shared" si="0"/>
        <v>610</v>
      </c>
      <c r="H25" s="17">
        <f t="shared" si="1"/>
        <v>0.87</v>
      </c>
      <c r="I25" s="16">
        <f t="shared" si="2"/>
        <v>2E-3</v>
      </c>
      <c r="J25" s="16">
        <f>ROUND(G25/925-1,2)</f>
        <v>-0.34</v>
      </c>
    </row>
    <row r="26" spans="1:10" x14ac:dyDescent="0.25">
      <c r="A26" s="1" t="s">
        <v>16</v>
      </c>
      <c r="B26" s="1" t="s">
        <v>34</v>
      </c>
      <c r="C26" s="11"/>
      <c r="D26" s="11">
        <v>30</v>
      </c>
      <c r="E26" s="11">
        <v>110</v>
      </c>
      <c r="F26" s="11"/>
      <c r="G26" s="11">
        <f t="shared" si="0"/>
        <v>140</v>
      </c>
      <c r="H26" s="17">
        <f t="shared" si="1"/>
        <v>0.2</v>
      </c>
      <c r="I26" s="16">
        <f t="shared" si="2"/>
        <v>0</v>
      </c>
      <c r="J26" s="16">
        <f>ROUND(G26/118-1,2)</f>
        <v>0.19</v>
      </c>
    </row>
    <row r="27" spans="1:10" x14ac:dyDescent="0.25">
      <c r="A27" s="1" t="s">
        <v>16</v>
      </c>
      <c r="B27" s="1" t="s">
        <v>35</v>
      </c>
      <c r="C27" s="11"/>
      <c r="D27" s="11"/>
      <c r="E27" s="11">
        <v>880</v>
      </c>
      <c r="F27" s="11"/>
      <c r="G27" s="11">
        <f t="shared" si="0"/>
        <v>880</v>
      </c>
      <c r="H27" s="17">
        <f t="shared" si="1"/>
        <v>1.26</v>
      </c>
      <c r="I27" s="16">
        <f t="shared" si="2"/>
        <v>3.0000000000000001E-3</v>
      </c>
      <c r="J27" s="16">
        <f>ROUND(G27/590-1,2)</f>
        <v>0.49</v>
      </c>
    </row>
    <row r="28" spans="1:10" x14ac:dyDescent="0.25">
      <c r="A28" s="1" t="s">
        <v>16</v>
      </c>
      <c r="B28" s="1" t="s">
        <v>37</v>
      </c>
      <c r="C28" s="11"/>
      <c r="D28" s="11"/>
      <c r="E28" s="11">
        <v>1050</v>
      </c>
      <c r="F28" s="11"/>
      <c r="G28" s="11">
        <f t="shared" si="0"/>
        <v>1050</v>
      </c>
      <c r="H28" s="17">
        <f t="shared" si="1"/>
        <v>1.5</v>
      </c>
      <c r="I28" s="16">
        <f t="shared" si="2"/>
        <v>4.0000000000000001E-3</v>
      </c>
      <c r="J28" s="16">
        <f>ROUND(G28/400-1,2)</f>
        <v>1.63</v>
      </c>
    </row>
    <row r="29" spans="1:10" x14ac:dyDescent="0.25">
      <c r="A29" s="1" t="s">
        <v>16</v>
      </c>
      <c r="B29" s="1" t="s">
        <v>39</v>
      </c>
      <c r="C29" s="11"/>
      <c r="D29" s="11"/>
      <c r="E29" s="11">
        <v>3560</v>
      </c>
      <c r="F29" s="11"/>
      <c r="G29" s="11">
        <f t="shared" si="0"/>
        <v>3560</v>
      </c>
      <c r="H29" s="17">
        <f t="shared" si="1"/>
        <v>5.09</v>
      </c>
      <c r="I29" s="16">
        <f t="shared" si="2"/>
        <v>1.2E-2</v>
      </c>
      <c r="J29" s="16">
        <f>ROUND(G29/3670-1,2)</f>
        <v>-0.03</v>
      </c>
    </row>
    <row r="30" spans="1:10" x14ac:dyDescent="0.25">
      <c r="A30" s="1" t="s">
        <v>16</v>
      </c>
      <c r="B30" s="1" t="s">
        <v>38</v>
      </c>
      <c r="C30" s="11"/>
      <c r="D30" s="11"/>
      <c r="E30" s="11">
        <v>2620</v>
      </c>
      <c r="F30" s="11"/>
      <c r="G30" s="11">
        <f t="shared" si="0"/>
        <v>2620</v>
      </c>
      <c r="H30" s="17">
        <f t="shared" si="1"/>
        <v>3.75</v>
      </c>
      <c r="I30" s="16">
        <f t="shared" si="2"/>
        <v>8.9999999999999993E-3</v>
      </c>
      <c r="J30" s="16">
        <f>ROUND(G30/4210-1,2)</f>
        <v>-0.38</v>
      </c>
    </row>
    <row r="31" spans="1:10" x14ac:dyDescent="0.25">
      <c r="A31" s="1" t="s">
        <v>16</v>
      </c>
      <c r="B31" s="1" t="s">
        <v>40</v>
      </c>
      <c r="C31" s="11"/>
      <c r="D31" s="11"/>
      <c r="E31" s="11">
        <v>19420</v>
      </c>
      <c r="F31" s="11"/>
      <c r="G31" s="11">
        <f t="shared" si="0"/>
        <v>19420</v>
      </c>
      <c r="H31" s="17">
        <f t="shared" si="1"/>
        <v>27.78</v>
      </c>
      <c r="I31" s="16">
        <f t="shared" si="2"/>
        <v>6.6000000000000003E-2</v>
      </c>
      <c r="J31" s="16">
        <f>ROUND(G31/23540-1,2)</f>
        <v>-0.18</v>
      </c>
    </row>
    <row r="32" spans="1:10" x14ac:dyDescent="0.25">
      <c r="A32" s="1" t="s">
        <v>16</v>
      </c>
      <c r="B32" s="1" t="s">
        <v>41</v>
      </c>
      <c r="C32" s="11"/>
      <c r="D32" s="11"/>
      <c r="E32" s="11">
        <v>1600</v>
      </c>
      <c r="F32" s="11"/>
      <c r="G32" s="11">
        <f t="shared" si="0"/>
        <v>1600</v>
      </c>
      <c r="H32" s="17">
        <f t="shared" si="1"/>
        <v>2.29</v>
      </c>
      <c r="I32" s="16">
        <f t="shared" si="2"/>
        <v>5.0000000000000001E-3</v>
      </c>
      <c r="J32" s="16">
        <f>ROUND(G32/3350-1,2)</f>
        <v>-0.52</v>
      </c>
    </row>
    <row r="33" spans="1:10" x14ac:dyDescent="0.25">
      <c r="A33" s="1" t="s">
        <v>16</v>
      </c>
      <c r="B33" s="1" t="s">
        <v>42</v>
      </c>
      <c r="C33" s="11"/>
      <c r="D33" s="11"/>
      <c r="E33" s="11">
        <v>6330</v>
      </c>
      <c r="F33" s="11"/>
      <c r="G33" s="11">
        <f t="shared" si="0"/>
        <v>6330</v>
      </c>
      <c r="H33" s="17">
        <f t="shared" si="1"/>
        <v>9.06</v>
      </c>
      <c r="I33" s="16">
        <f t="shared" si="2"/>
        <v>2.1000000000000001E-2</v>
      </c>
      <c r="J33" s="16">
        <f>ROUND(G33/9030-1,2)</f>
        <v>-0.3</v>
      </c>
    </row>
    <row r="34" spans="1:10" x14ac:dyDescent="0.25">
      <c r="A34" s="1" t="s">
        <v>16</v>
      </c>
      <c r="B34" s="1" t="s">
        <v>44</v>
      </c>
      <c r="C34" s="11"/>
      <c r="D34" s="11"/>
      <c r="E34" s="11">
        <v>21240</v>
      </c>
      <c r="F34" s="11"/>
      <c r="G34" s="11">
        <f t="shared" si="0"/>
        <v>21240</v>
      </c>
      <c r="H34" s="17">
        <f t="shared" si="1"/>
        <v>30.39</v>
      </c>
      <c r="I34" s="16">
        <f t="shared" si="2"/>
        <v>7.1999999999999995E-2</v>
      </c>
      <c r="J34" s="16">
        <f>ROUND(G34/19440-1,2)</f>
        <v>0.09</v>
      </c>
    </row>
    <row r="35" spans="1:10" x14ac:dyDescent="0.25">
      <c r="A35" s="1" t="s">
        <v>16</v>
      </c>
      <c r="B35" s="1" t="s">
        <v>36</v>
      </c>
      <c r="C35" s="11"/>
      <c r="D35" s="11"/>
      <c r="E35" s="11"/>
      <c r="F35" s="11"/>
      <c r="G35" s="11">
        <f t="shared" si="0"/>
        <v>0</v>
      </c>
      <c r="H35" s="17">
        <f t="shared" si="1"/>
        <v>0</v>
      </c>
      <c r="I35" s="16">
        <f t="shared" si="2"/>
        <v>0</v>
      </c>
      <c r="J35" s="16">
        <f>ROUND(G35/30-1,2)</f>
        <v>-1</v>
      </c>
    </row>
    <row r="36" spans="1:10" x14ac:dyDescent="0.25">
      <c r="A36" s="1" t="s">
        <v>45</v>
      </c>
      <c r="B36" s="1" t="s">
        <v>46</v>
      </c>
      <c r="C36" s="11">
        <v>73200</v>
      </c>
      <c r="D36" s="11"/>
      <c r="E36" s="11"/>
      <c r="F36" s="11"/>
      <c r="G36" s="11">
        <f t="shared" si="0"/>
        <v>73200</v>
      </c>
      <c r="H36" s="17">
        <f t="shared" si="1"/>
        <v>104.72</v>
      </c>
      <c r="I36" s="16">
        <f t="shared" si="2"/>
        <v>0.248</v>
      </c>
      <c r="J36" s="16">
        <f>ROUND(G36/62030-1,2)</f>
        <v>0.18</v>
      </c>
    </row>
    <row r="37" spans="1:10" x14ac:dyDescent="0.25">
      <c r="A37" s="1" t="s">
        <v>45</v>
      </c>
      <c r="B37" s="1" t="s">
        <v>47</v>
      </c>
      <c r="C37" s="11"/>
      <c r="D37" s="11"/>
      <c r="E37" s="11">
        <v>11360</v>
      </c>
      <c r="F37" s="11"/>
      <c r="G37" s="11">
        <f t="shared" si="0"/>
        <v>11360</v>
      </c>
      <c r="H37" s="17">
        <f t="shared" si="1"/>
        <v>16.25</v>
      </c>
      <c r="I37" s="16">
        <f t="shared" si="2"/>
        <v>3.9E-2</v>
      </c>
      <c r="J37" s="16">
        <f>ROUND(G37/11220-1,2)</f>
        <v>0.01</v>
      </c>
    </row>
    <row r="38" spans="1:10" x14ac:dyDescent="0.25">
      <c r="A38" s="1" t="s">
        <v>45</v>
      </c>
      <c r="B38" s="1" t="s">
        <v>48</v>
      </c>
      <c r="C38" s="11"/>
      <c r="D38" s="11"/>
      <c r="E38" s="11"/>
      <c r="F38" s="11"/>
      <c r="G38" s="11">
        <f t="shared" si="0"/>
        <v>0</v>
      </c>
      <c r="H38" s="17">
        <f t="shared" si="1"/>
        <v>0</v>
      </c>
      <c r="I38" s="16">
        <f t="shared" si="2"/>
        <v>0</v>
      </c>
      <c r="J38" s="16">
        <f>ROUND(G38/5500-1,2)</f>
        <v>-1</v>
      </c>
    </row>
    <row r="39" spans="1:10" x14ac:dyDescent="0.25">
      <c r="A39" s="26" t="s">
        <v>12</v>
      </c>
      <c r="B39" s="26"/>
      <c r="C39" s="12">
        <f t="shared" ref="C39:H39" si="3">SUM(C8:C38)</f>
        <v>197080</v>
      </c>
      <c r="D39" s="12">
        <f t="shared" si="3"/>
        <v>30</v>
      </c>
      <c r="E39" s="12">
        <f t="shared" si="3"/>
        <v>96791</v>
      </c>
      <c r="F39" s="12">
        <f t="shared" si="3"/>
        <v>700</v>
      </c>
      <c r="G39" s="12">
        <f t="shared" si="3"/>
        <v>294601</v>
      </c>
      <c r="H39" s="15">
        <f t="shared" si="3"/>
        <v>421.47</v>
      </c>
      <c r="I39" s="18"/>
      <c r="J39" s="18"/>
    </row>
    <row r="40" spans="1:10" x14ac:dyDescent="0.25">
      <c r="A40" s="26" t="s">
        <v>14</v>
      </c>
      <c r="B40" s="26"/>
      <c r="C40" s="13">
        <f>ROUND(C39/G39,2)</f>
        <v>0.67</v>
      </c>
      <c r="D40" s="13">
        <f>ROUND(D39/G39,2)</f>
        <v>0</v>
      </c>
      <c r="E40" s="13">
        <f>ROUND(E39/G39,2)</f>
        <v>0.33</v>
      </c>
      <c r="F40" s="13">
        <f>ROUND(F39/G39,2)</f>
        <v>0</v>
      </c>
      <c r="G40" s="14"/>
      <c r="H40" s="14"/>
      <c r="I40" s="18"/>
      <c r="J40" s="18"/>
    </row>
    <row r="41" spans="1:10" x14ac:dyDescent="0.25">
      <c r="A41" s="2" t="s">
        <v>53</v>
      </c>
      <c r="B41" s="2"/>
      <c r="C41" s="14"/>
      <c r="D41" s="14"/>
      <c r="E41" s="14"/>
      <c r="F41" s="14"/>
      <c r="G41" s="14"/>
      <c r="H41" s="14"/>
      <c r="I41" s="18"/>
      <c r="J41" s="18"/>
    </row>
    <row r="42" spans="1:10" x14ac:dyDescent="0.25">
      <c r="C42" s="9"/>
      <c r="D42" s="9"/>
      <c r="E42" s="9"/>
      <c r="F42" s="9"/>
      <c r="G42" s="9"/>
      <c r="H42" s="9"/>
      <c r="I42" s="10"/>
      <c r="J42" s="10"/>
    </row>
    <row r="43" spans="1:10" x14ac:dyDescent="0.25">
      <c r="C43" s="9"/>
      <c r="D43" s="9"/>
      <c r="E43" s="9"/>
      <c r="F43" s="9"/>
      <c r="G43" s="9"/>
      <c r="H43" s="9"/>
      <c r="I43" s="10"/>
      <c r="J43" s="10"/>
    </row>
    <row r="44" spans="1:10" x14ac:dyDescent="0.25">
      <c r="C44" s="9"/>
      <c r="D44" s="9"/>
      <c r="E44" s="9"/>
      <c r="F44" s="9"/>
      <c r="G44" s="9"/>
      <c r="H44" s="9"/>
      <c r="I44" s="10"/>
      <c r="J44" s="10"/>
    </row>
    <row r="45" spans="1:10" x14ac:dyDescent="0.25">
      <c r="A45" s="26" t="s">
        <v>54</v>
      </c>
      <c r="B45" s="26"/>
      <c r="C45" s="12" t="s">
        <v>8</v>
      </c>
      <c r="D45" s="12" t="s">
        <v>9</v>
      </c>
      <c r="E45" s="12" t="s">
        <v>10</v>
      </c>
      <c r="F45" s="12" t="s">
        <v>11</v>
      </c>
      <c r="G45" s="12" t="s">
        <v>12</v>
      </c>
      <c r="H45" s="15" t="s">
        <v>13</v>
      </c>
      <c r="I45" s="18"/>
      <c r="J45" s="18"/>
    </row>
    <row r="46" spans="1:10" x14ac:dyDescent="0.25">
      <c r="A46" s="21" t="s">
        <v>55</v>
      </c>
      <c r="B46" s="21"/>
      <c r="C46" s="11">
        <v>123880</v>
      </c>
      <c r="D46" s="11">
        <v>30</v>
      </c>
      <c r="E46" s="11">
        <v>85431</v>
      </c>
      <c r="F46" s="11">
        <v>700</v>
      </c>
      <c r="G46" s="11">
        <f>SUM(C46:F46)</f>
        <v>210041</v>
      </c>
      <c r="H46" s="17">
        <f>ROUND(G46/699,2)</f>
        <v>300.49</v>
      </c>
      <c r="I46" s="10"/>
      <c r="J46" s="10"/>
    </row>
    <row r="47" spans="1:10" x14ac:dyDescent="0.25">
      <c r="A47" s="21" t="s">
        <v>56</v>
      </c>
      <c r="B47" s="21"/>
      <c r="C47" s="11">
        <v>73200</v>
      </c>
      <c r="D47" s="11">
        <v>0</v>
      </c>
      <c r="E47" s="11">
        <v>11360</v>
      </c>
      <c r="F47" s="11">
        <v>0</v>
      </c>
      <c r="G47" s="11">
        <f>SUM(C47:F47)</f>
        <v>84560</v>
      </c>
      <c r="H47" s="17">
        <f>ROUND(G47/699,2)</f>
        <v>120.97</v>
      </c>
      <c r="I47" s="10"/>
      <c r="J47" s="10"/>
    </row>
    <row r="48" spans="1:10" x14ac:dyDescent="0.25">
      <c r="A48" s="21" t="s">
        <v>57</v>
      </c>
      <c r="B48" s="21"/>
      <c r="C48" s="11"/>
      <c r="D48" s="11"/>
      <c r="E48" s="11"/>
      <c r="F48" s="11"/>
      <c r="G48" s="11">
        <f>SUM(C48:F48)</f>
        <v>0</v>
      </c>
      <c r="H48" s="17">
        <f>ROUND(G48/699,2)</f>
        <v>0</v>
      </c>
      <c r="I48" s="10"/>
      <c r="J48" s="10"/>
    </row>
    <row r="49" spans="1:10" x14ac:dyDescent="0.25">
      <c r="C49" s="9"/>
      <c r="D49" s="9"/>
      <c r="E49" s="9"/>
      <c r="F49" s="9"/>
      <c r="G49" s="9"/>
      <c r="H49" s="9"/>
      <c r="I49" s="10"/>
      <c r="J49" s="10"/>
    </row>
    <row r="50" spans="1:10" x14ac:dyDescent="0.25">
      <c r="C50" s="9"/>
      <c r="D50" s="9"/>
      <c r="E50" s="9"/>
      <c r="F50" s="9"/>
      <c r="G50" s="9"/>
      <c r="H50" s="9"/>
      <c r="I50" s="10"/>
      <c r="J50" s="10"/>
    </row>
    <row r="51" spans="1:10" x14ac:dyDescent="0.25">
      <c r="C51" s="9"/>
      <c r="D51" s="9"/>
      <c r="E51" s="9"/>
      <c r="F51" s="9"/>
      <c r="G51" s="9"/>
      <c r="H51" s="9"/>
      <c r="I51" s="10"/>
      <c r="J51" s="10"/>
    </row>
    <row r="52" spans="1:10" x14ac:dyDescent="0.25">
      <c r="C52" s="9"/>
      <c r="D52" s="9"/>
      <c r="E52" s="9"/>
      <c r="F52" s="9"/>
      <c r="G52" s="9"/>
      <c r="H52" s="9"/>
      <c r="I52" s="10"/>
      <c r="J52" s="10"/>
    </row>
    <row r="53" spans="1:10" x14ac:dyDescent="0.25">
      <c r="A53" s="26" t="s">
        <v>58</v>
      </c>
      <c r="B53" s="26"/>
      <c r="C53" s="15" t="s">
        <v>2</v>
      </c>
      <c r="D53" s="15">
        <v>2024</v>
      </c>
      <c r="E53" s="15" t="s">
        <v>60</v>
      </c>
      <c r="F53" s="14"/>
      <c r="G53" s="15" t="s">
        <v>61</v>
      </c>
      <c r="H53" s="15" t="s">
        <v>2</v>
      </c>
      <c r="I53" s="13" t="s">
        <v>62</v>
      </c>
      <c r="J53" s="13" t="s">
        <v>60</v>
      </c>
    </row>
    <row r="54" spans="1:10" x14ac:dyDescent="0.25">
      <c r="A54" s="21" t="s">
        <v>59</v>
      </c>
      <c r="B54" s="21"/>
      <c r="C54" s="16">
        <f>ROUND(0.7305, 4)</f>
        <v>0.73050000000000004</v>
      </c>
      <c r="D54" s="16">
        <f>ROUND(0.7633, 4)</f>
        <v>0.76329999999999998</v>
      </c>
      <c r="E54" s="16">
        <f>ROUND(0.7856, 4)</f>
        <v>0.78559999999999997</v>
      </c>
      <c r="F54" s="9"/>
      <c r="G54" s="15" t="s">
        <v>63</v>
      </c>
      <c r="H54" s="27" t="s">
        <v>64</v>
      </c>
      <c r="I54" s="24" t="s">
        <v>65</v>
      </c>
      <c r="J54" s="24" t="s">
        <v>66</v>
      </c>
    </row>
    <row r="55" spans="1:10" x14ac:dyDescent="0.25">
      <c r="A55" s="21" t="s">
        <v>67</v>
      </c>
      <c r="B55" s="21"/>
      <c r="C55" s="16">
        <f>ROUND(0.7305, 4)</f>
        <v>0.73050000000000004</v>
      </c>
      <c r="D55" s="16">
        <f>ROUND(0.7515, 4)</f>
        <v>0.75149999999999995</v>
      </c>
      <c r="E55" s="16">
        <f>ROUND(0.7702, 4)</f>
        <v>0.7702</v>
      </c>
      <c r="F55" s="9"/>
      <c r="G55" s="15" t="s">
        <v>68</v>
      </c>
      <c r="H55" s="28"/>
      <c r="I55" s="25"/>
      <c r="J55" s="25"/>
    </row>
    <row r="56" spans="1:10" x14ac:dyDescent="0.25">
      <c r="C56" s="9"/>
      <c r="D56" s="9"/>
      <c r="E56" s="9"/>
      <c r="F56" s="9"/>
      <c r="G56" s="9"/>
      <c r="H56" s="9"/>
      <c r="I56" s="10"/>
      <c r="J56" s="10"/>
    </row>
    <row r="57" spans="1:10" x14ac:dyDescent="0.25">
      <c r="C57" s="9"/>
      <c r="D57" s="9"/>
      <c r="E57" s="9"/>
      <c r="F57" s="9"/>
      <c r="G57" s="9"/>
      <c r="H57" s="9"/>
      <c r="I57" s="10"/>
      <c r="J57" s="10"/>
    </row>
    <row r="58" spans="1:10" x14ac:dyDescent="0.25">
      <c r="C58" s="9"/>
      <c r="D58" s="9"/>
      <c r="E58" s="9"/>
      <c r="F58" s="9"/>
      <c r="G58" s="9"/>
      <c r="H58" s="9"/>
      <c r="I58" s="10"/>
      <c r="J58" s="10"/>
    </row>
    <row r="59" spans="1:10" x14ac:dyDescent="0.25">
      <c r="A59" s="26" t="s">
        <v>69</v>
      </c>
      <c r="B59" s="26"/>
      <c r="C59" s="15" t="s">
        <v>2</v>
      </c>
      <c r="D59" s="15" t="s">
        <v>107</v>
      </c>
      <c r="E59" s="15" t="s">
        <v>71</v>
      </c>
      <c r="F59" s="15" t="s">
        <v>72</v>
      </c>
      <c r="G59" s="15" t="s">
        <v>73</v>
      </c>
      <c r="H59" s="14"/>
      <c r="I59" s="18"/>
      <c r="J59" s="18"/>
    </row>
    <row r="60" spans="1:10" x14ac:dyDescent="0.25">
      <c r="A60" s="21" t="s">
        <v>74</v>
      </c>
      <c r="B60" s="21"/>
      <c r="C60" s="17">
        <v>104.72</v>
      </c>
      <c r="D60" s="17">
        <v>89.92</v>
      </c>
      <c r="E60" s="17">
        <v>96.15</v>
      </c>
      <c r="F60" s="17">
        <v>57.94</v>
      </c>
      <c r="G60" s="17">
        <f>12/12*C60</f>
        <v>104.72</v>
      </c>
      <c r="H60" s="9"/>
      <c r="I60" s="10"/>
      <c r="J60" s="10"/>
    </row>
    <row r="61" spans="1:10" x14ac:dyDescent="0.25">
      <c r="A61" s="21" t="s">
        <v>75</v>
      </c>
      <c r="B61" s="21"/>
      <c r="C61" s="17">
        <v>52.55</v>
      </c>
      <c r="D61" s="17">
        <v>53.84</v>
      </c>
      <c r="E61" s="17">
        <v>62.28</v>
      </c>
      <c r="F61" s="17">
        <v>66.599999999999994</v>
      </c>
      <c r="G61" s="17">
        <f>12/12*C61</f>
        <v>52.55</v>
      </c>
      <c r="H61" s="9"/>
      <c r="I61" s="10"/>
      <c r="J61" s="10"/>
    </row>
    <row r="62" spans="1:10" x14ac:dyDescent="0.25">
      <c r="A62" s="21" t="s">
        <v>76</v>
      </c>
      <c r="B62" s="21"/>
      <c r="C62" s="17">
        <v>300.49</v>
      </c>
      <c r="D62" s="17">
        <v>326.01</v>
      </c>
      <c r="E62" s="17">
        <v>300.02</v>
      </c>
      <c r="F62" s="17">
        <v>295.08</v>
      </c>
      <c r="G62" s="17">
        <f>12/12*C62</f>
        <v>300.49</v>
      </c>
      <c r="H62" s="9"/>
      <c r="I62" s="10"/>
      <c r="J62" s="10"/>
    </row>
    <row r="63" spans="1:10" x14ac:dyDescent="0.25">
      <c r="A63" s="21" t="s">
        <v>77</v>
      </c>
      <c r="B63" s="21"/>
      <c r="C63" s="17">
        <v>120.97</v>
      </c>
      <c r="D63" s="17">
        <v>106.49</v>
      </c>
      <c r="E63" s="17">
        <v>120.96</v>
      </c>
      <c r="F63" s="17">
        <v>83.12</v>
      </c>
      <c r="G63" s="17">
        <f>12/12*C63</f>
        <v>120.97</v>
      </c>
      <c r="H63" s="9"/>
      <c r="I63" s="10"/>
      <c r="J63" s="10"/>
    </row>
    <row r="64" spans="1:10" x14ac:dyDescent="0.25">
      <c r="C64" s="9"/>
      <c r="D64" s="9"/>
      <c r="E64" s="9"/>
      <c r="F64" s="9"/>
      <c r="G64" s="9"/>
      <c r="H64" s="9"/>
      <c r="I64" s="10"/>
      <c r="J64" s="10"/>
    </row>
    <row r="65" spans="1:10" x14ac:dyDescent="0.25">
      <c r="C65" s="9"/>
      <c r="D65" s="9"/>
      <c r="E65" s="9"/>
      <c r="F65" s="9"/>
      <c r="G65" s="9"/>
      <c r="H65" s="9"/>
      <c r="I65" s="10"/>
      <c r="J65" s="10"/>
    </row>
    <row r="66" spans="1:10" x14ac:dyDescent="0.25">
      <c r="A66" s="22" t="s">
        <v>61</v>
      </c>
      <c r="B66" s="23"/>
      <c r="C66" s="9"/>
      <c r="D66" s="9"/>
      <c r="E66" s="9"/>
      <c r="F66" s="9"/>
      <c r="G66" s="9"/>
      <c r="H66" s="9"/>
      <c r="I66" s="10"/>
      <c r="J66" s="10"/>
    </row>
    <row r="67" spans="1:10" x14ac:dyDescent="0.25">
      <c r="A67" s="3" t="s">
        <v>78</v>
      </c>
      <c r="B67" s="1" t="s">
        <v>108</v>
      </c>
      <c r="C67" s="9"/>
      <c r="D67" s="9"/>
      <c r="E67" s="9"/>
      <c r="F67" s="9"/>
      <c r="G67" s="9"/>
      <c r="H67" s="9"/>
      <c r="I67" s="10"/>
      <c r="J67" s="10"/>
    </row>
    <row r="68" spans="1:10" x14ac:dyDescent="0.25">
      <c r="A68" s="3" t="s">
        <v>71</v>
      </c>
      <c r="B68" s="1" t="s">
        <v>80</v>
      </c>
      <c r="C68" s="9"/>
      <c r="D68" s="9"/>
      <c r="E68" s="9"/>
      <c r="F68" s="9"/>
      <c r="G68" s="9"/>
      <c r="H68" s="9"/>
      <c r="I68" s="10"/>
      <c r="J68" s="10"/>
    </row>
    <row r="69" spans="1:10" x14ac:dyDescent="0.25">
      <c r="A69" s="3" t="s">
        <v>72</v>
      </c>
      <c r="B69" s="1" t="s">
        <v>81</v>
      </c>
      <c r="C69" s="9"/>
      <c r="D69" s="9"/>
      <c r="E69" s="9"/>
      <c r="F69" s="9"/>
      <c r="G69" s="9"/>
      <c r="H69" s="9"/>
      <c r="I69" s="10"/>
      <c r="J69" s="10"/>
    </row>
    <row r="70" spans="1:10" x14ac:dyDescent="0.25">
      <c r="A70" s="3" t="s">
        <v>73</v>
      </c>
      <c r="B70" s="1" t="s">
        <v>82</v>
      </c>
      <c r="C70" s="9"/>
      <c r="D70" s="9"/>
      <c r="E70" s="9"/>
      <c r="F70" s="9"/>
      <c r="G70" s="9"/>
      <c r="H70" s="9"/>
      <c r="I70" s="10"/>
      <c r="J70" s="10"/>
    </row>
    <row r="71" spans="1:10" x14ac:dyDescent="0.25">
      <c r="C71" s="9"/>
      <c r="D71" s="9"/>
      <c r="E71" s="9"/>
      <c r="F71" s="9"/>
      <c r="G71" s="9"/>
      <c r="H71" s="9"/>
      <c r="I71" s="10"/>
      <c r="J71" s="10"/>
    </row>
    <row r="72" spans="1:10" x14ac:dyDescent="0.25">
      <c r="C72" s="9"/>
      <c r="D72" s="9"/>
      <c r="E72" s="9"/>
      <c r="F72" s="9"/>
      <c r="G72" s="9"/>
      <c r="H72" s="9"/>
      <c r="I72" s="10"/>
      <c r="J72" s="10"/>
    </row>
    <row r="73" spans="1:10" x14ac:dyDescent="0.25">
      <c r="C73" s="9"/>
      <c r="D73" s="9"/>
      <c r="E73" s="9"/>
      <c r="F73" s="9"/>
      <c r="G73" s="9"/>
      <c r="H73" s="9"/>
      <c r="I73" s="10"/>
      <c r="J73" s="10"/>
    </row>
  </sheetData>
  <mergeCells count="19">
    <mergeCell ref="C7:G7"/>
    <mergeCell ref="A39:B39"/>
    <mergeCell ref="A40:B40"/>
    <mergeCell ref="A45:B45"/>
    <mergeCell ref="A46:B46"/>
    <mergeCell ref="J54:J55"/>
    <mergeCell ref="A55:B55"/>
    <mergeCell ref="A59:B59"/>
    <mergeCell ref="A60:B60"/>
    <mergeCell ref="A47:B47"/>
    <mergeCell ref="A48:B48"/>
    <mergeCell ref="A53:B53"/>
    <mergeCell ref="A54:B54"/>
    <mergeCell ref="H54:H55"/>
    <mergeCell ref="A61:B61"/>
    <mergeCell ref="A62:B62"/>
    <mergeCell ref="A63:B63"/>
    <mergeCell ref="A66:B66"/>
    <mergeCell ref="I54:I55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2:J67"/>
  <sheetViews>
    <sheetView workbookViewId="0">
      <selection activeCell="H5" sqref="H5"/>
    </sheetView>
  </sheetViews>
  <sheetFormatPr defaultRowHeight="15" x14ac:dyDescent="0.25"/>
  <cols>
    <col min="1" max="1" width="28.42578125" bestFit="1" customWidth="1"/>
    <col min="2" max="2" width="59.5703125" bestFit="1" customWidth="1"/>
    <col min="3" max="3" width="12.7109375" bestFit="1" customWidth="1"/>
    <col min="4" max="4" width="22.42578125" bestFit="1" customWidth="1"/>
    <col min="5" max="5" width="13.85546875" bestFit="1" customWidth="1"/>
    <col min="6" max="6" width="8.5703125" bestFit="1" customWidth="1"/>
    <col min="7" max="7" width="47.7109375" bestFit="1" customWidth="1"/>
    <col min="8" max="9" width="16.7109375" bestFit="1" customWidth="1"/>
    <col min="10" max="10" width="24.42578125" bestFit="1" customWidth="1"/>
  </cols>
  <sheetData>
    <row r="2" spans="1:10" ht="18.75" x14ac:dyDescent="0.3">
      <c r="A2" s="3" t="s">
        <v>0</v>
      </c>
      <c r="B2" s="4" t="s">
        <v>325</v>
      </c>
    </row>
    <row r="3" spans="1:10" x14ac:dyDescent="0.25">
      <c r="A3" s="3" t="s">
        <v>2</v>
      </c>
      <c r="B3" s="1" t="s">
        <v>3</v>
      </c>
    </row>
    <row r="4" spans="1:10" x14ac:dyDescent="0.25">
      <c r="A4" s="3" t="s">
        <v>4</v>
      </c>
      <c r="B4" s="20">
        <v>568</v>
      </c>
    </row>
    <row r="7" spans="1:10" x14ac:dyDescent="0.25">
      <c r="C7" s="22" t="s">
        <v>5</v>
      </c>
      <c r="D7" s="21"/>
      <c r="E7" s="21"/>
      <c r="F7" s="21"/>
      <c r="G7" s="21"/>
    </row>
    <row r="8" spans="1:10" x14ac:dyDescent="0.25">
      <c r="A8" s="3" t="s">
        <v>6</v>
      </c>
      <c r="B8" s="3" t="s">
        <v>7</v>
      </c>
      <c r="C8" s="15" t="s">
        <v>8</v>
      </c>
      <c r="D8" s="15" t="s">
        <v>9</v>
      </c>
      <c r="E8" s="15" t="s">
        <v>10</v>
      </c>
      <c r="F8" s="15" t="s">
        <v>11</v>
      </c>
      <c r="G8" s="15" t="s">
        <v>12</v>
      </c>
      <c r="H8" s="15" t="s">
        <v>13</v>
      </c>
      <c r="I8" s="15" t="s">
        <v>14</v>
      </c>
      <c r="J8" s="15" t="s">
        <v>15</v>
      </c>
    </row>
    <row r="9" spans="1:10" x14ac:dyDescent="0.25">
      <c r="A9" s="1" t="s">
        <v>16</v>
      </c>
      <c r="B9" s="1" t="s">
        <v>19</v>
      </c>
      <c r="C9" s="11">
        <v>17710</v>
      </c>
      <c r="D9" s="11"/>
      <c r="E9" s="11"/>
      <c r="F9" s="11"/>
      <c r="G9" s="11">
        <f t="shared" ref="G9:G32" si="0">SUM(C9:F9)</f>
        <v>17710</v>
      </c>
      <c r="H9" s="17">
        <f t="shared" ref="H9:H32" si="1">ROUND(G9/568,2)</f>
        <v>31.18</v>
      </c>
      <c r="I9" s="16">
        <f t="shared" ref="I9:I32" si="2">ROUND(G9/$G$33,3)</f>
        <v>8.8999999999999996E-2</v>
      </c>
      <c r="J9" s="16">
        <f>ROUND(G9/18250-1,2)</f>
        <v>-0.03</v>
      </c>
    </row>
    <row r="10" spans="1:10" x14ac:dyDescent="0.25">
      <c r="A10" s="1" t="s">
        <v>16</v>
      </c>
      <c r="B10" s="1" t="s">
        <v>20</v>
      </c>
      <c r="C10" s="11">
        <v>31470</v>
      </c>
      <c r="D10" s="11"/>
      <c r="E10" s="11"/>
      <c r="F10" s="11"/>
      <c r="G10" s="11">
        <f t="shared" si="0"/>
        <v>31470</v>
      </c>
      <c r="H10" s="17">
        <f t="shared" si="1"/>
        <v>55.4</v>
      </c>
      <c r="I10" s="16">
        <f t="shared" si="2"/>
        <v>0.157</v>
      </c>
      <c r="J10" s="16">
        <f>ROUND(G10/31190-1,2)</f>
        <v>0.01</v>
      </c>
    </row>
    <row r="11" spans="1:10" x14ac:dyDescent="0.25">
      <c r="A11" s="1" t="s">
        <v>16</v>
      </c>
      <c r="B11" s="1" t="s">
        <v>87</v>
      </c>
      <c r="C11" s="11"/>
      <c r="D11" s="11"/>
      <c r="E11" s="11"/>
      <c r="F11" s="11">
        <v>63</v>
      </c>
      <c r="G11" s="11">
        <f t="shared" si="0"/>
        <v>63</v>
      </c>
      <c r="H11" s="17">
        <f t="shared" si="1"/>
        <v>0.11</v>
      </c>
      <c r="I11" s="16">
        <f t="shared" si="2"/>
        <v>0</v>
      </c>
      <c r="J11" s="16">
        <f>ROUND(G11/30-1,2)</f>
        <v>1.1000000000000001</v>
      </c>
    </row>
    <row r="12" spans="1:10" x14ac:dyDescent="0.25">
      <c r="A12" s="1" t="s">
        <v>16</v>
      </c>
      <c r="B12" s="1" t="s">
        <v>21</v>
      </c>
      <c r="C12" s="11"/>
      <c r="D12" s="11"/>
      <c r="E12" s="11"/>
      <c r="F12" s="11">
        <v>29</v>
      </c>
      <c r="G12" s="11">
        <f t="shared" si="0"/>
        <v>29</v>
      </c>
      <c r="H12" s="17">
        <f t="shared" si="1"/>
        <v>0.05</v>
      </c>
      <c r="I12" s="16">
        <f t="shared" si="2"/>
        <v>0</v>
      </c>
      <c r="J12" s="16">
        <f>ROUND(G12/47-1,2)</f>
        <v>-0.38</v>
      </c>
    </row>
    <row r="13" spans="1:10" x14ac:dyDescent="0.25">
      <c r="A13" s="1" t="s">
        <v>16</v>
      </c>
      <c r="B13" s="1" t="s">
        <v>24</v>
      </c>
      <c r="C13" s="11">
        <v>19820</v>
      </c>
      <c r="D13" s="11"/>
      <c r="E13" s="11"/>
      <c r="F13" s="11"/>
      <c r="G13" s="11">
        <f t="shared" si="0"/>
        <v>19820</v>
      </c>
      <c r="H13" s="17">
        <f t="shared" si="1"/>
        <v>34.89</v>
      </c>
      <c r="I13" s="16">
        <f t="shared" si="2"/>
        <v>9.9000000000000005E-2</v>
      </c>
      <c r="J13" s="16">
        <f>ROUND(G13/20340-1,2)</f>
        <v>-0.03</v>
      </c>
    </row>
    <row r="14" spans="1:10" x14ac:dyDescent="0.25">
      <c r="A14" s="1" t="s">
        <v>16</v>
      </c>
      <c r="B14" s="1" t="s">
        <v>25</v>
      </c>
      <c r="C14" s="11"/>
      <c r="D14" s="11"/>
      <c r="E14" s="11">
        <v>380</v>
      </c>
      <c r="F14" s="11"/>
      <c r="G14" s="11">
        <f t="shared" si="0"/>
        <v>380</v>
      </c>
      <c r="H14" s="17">
        <f t="shared" si="1"/>
        <v>0.67</v>
      </c>
      <c r="I14" s="16">
        <f t="shared" si="2"/>
        <v>2E-3</v>
      </c>
      <c r="J14" s="16">
        <f>ROUND(G14/1000-1,2)</f>
        <v>-0.62</v>
      </c>
    </row>
    <row r="15" spans="1:10" x14ac:dyDescent="0.25">
      <c r="A15" s="1" t="s">
        <v>16</v>
      </c>
      <c r="B15" s="1" t="s">
        <v>26</v>
      </c>
      <c r="C15" s="11">
        <v>25000</v>
      </c>
      <c r="D15" s="11"/>
      <c r="E15" s="11"/>
      <c r="F15" s="11">
        <v>140</v>
      </c>
      <c r="G15" s="11">
        <f t="shared" si="0"/>
        <v>25140</v>
      </c>
      <c r="H15" s="17">
        <f t="shared" si="1"/>
        <v>44.26</v>
      </c>
      <c r="I15" s="16">
        <f t="shared" si="2"/>
        <v>0.126</v>
      </c>
      <c r="J15" s="16">
        <f>ROUND(G15/28320-1,2)</f>
        <v>-0.11</v>
      </c>
    </row>
    <row r="16" spans="1:10" x14ac:dyDescent="0.25">
      <c r="A16" s="1" t="s">
        <v>16</v>
      </c>
      <c r="B16" s="1" t="s">
        <v>27</v>
      </c>
      <c r="C16" s="11"/>
      <c r="D16" s="11"/>
      <c r="E16" s="11">
        <v>1154</v>
      </c>
      <c r="F16" s="11"/>
      <c r="G16" s="11">
        <f t="shared" si="0"/>
        <v>1154</v>
      </c>
      <c r="H16" s="17">
        <f t="shared" si="1"/>
        <v>2.0299999999999998</v>
      </c>
      <c r="I16" s="16">
        <f t="shared" si="2"/>
        <v>6.0000000000000001E-3</v>
      </c>
      <c r="J16" s="16">
        <f>ROUND(G16/999-1,2)</f>
        <v>0.16</v>
      </c>
    </row>
    <row r="17" spans="1:10" x14ac:dyDescent="0.25">
      <c r="A17" s="1" t="s">
        <v>16</v>
      </c>
      <c r="B17" s="1" t="s">
        <v>29</v>
      </c>
      <c r="C17" s="11"/>
      <c r="D17" s="11"/>
      <c r="E17" s="11"/>
      <c r="F17" s="11">
        <v>30</v>
      </c>
      <c r="G17" s="11">
        <f t="shared" si="0"/>
        <v>30</v>
      </c>
      <c r="H17" s="17">
        <f t="shared" si="1"/>
        <v>0.05</v>
      </c>
      <c r="I17" s="16">
        <f t="shared" si="2"/>
        <v>0</v>
      </c>
      <c r="J17" s="16">
        <f>ROUND(G17/20-1,2)</f>
        <v>0.5</v>
      </c>
    </row>
    <row r="18" spans="1:10" x14ac:dyDescent="0.25">
      <c r="A18" s="1" t="s">
        <v>16</v>
      </c>
      <c r="B18" s="1" t="s">
        <v>30</v>
      </c>
      <c r="C18" s="11"/>
      <c r="D18" s="11"/>
      <c r="E18" s="11"/>
      <c r="F18" s="11">
        <v>828</v>
      </c>
      <c r="G18" s="11">
        <f t="shared" si="0"/>
        <v>828</v>
      </c>
      <c r="H18" s="17">
        <f t="shared" si="1"/>
        <v>1.46</v>
      </c>
      <c r="I18" s="16">
        <f t="shared" si="2"/>
        <v>4.0000000000000001E-3</v>
      </c>
      <c r="J18" s="16">
        <f>ROUND(G18/1620.5-1,2)</f>
        <v>-0.49</v>
      </c>
    </row>
    <row r="19" spans="1:10" x14ac:dyDescent="0.25">
      <c r="A19" s="1" t="s">
        <v>16</v>
      </c>
      <c r="B19" s="1" t="s">
        <v>31</v>
      </c>
      <c r="C19" s="11"/>
      <c r="D19" s="11"/>
      <c r="E19" s="11"/>
      <c r="F19" s="11">
        <v>219</v>
      </c>
      <c r="G19" s="11">
        <f t="shared" si="0"/>
        <v>219</v>
      </c>
      <c r="H19" s="17">
        <f t="shared" si="1"/>
        <v>0.39</v>
      </c>
      <c r="I19" s="16">
        <f t="shared" si="2"/>
        <v>1E-3</v>
      </c>
      <c r="J19" s="16">
        <f>ROUND(G19/130-1,2)</f>
        <v>0.68</v>
      </c>
    </row>
    <row r="20" spans="1:10" x14ac:dyDescent="0.25">
      <c r="A20" s="1" t="s">
        <v>16</v>
      </c>
      <c r="B20" s="1" t="s">
        <v>32</v>
      </c>
      <c r="C20" s="11"/>
      <c r="D20" s="11"/>
      <c r="E20" s="11"/>
      <c r="F20" s="11">
        <v>244</v>
      </c>
      <c r="G20" s="11">
        <f t="shared" si="0"/>
        <v>244</v>
      </c>
      <c r="H20" s="17">
        <f t="shared" si="1"/>
        <v>0.43</v>
      </c>
      <c r="I20" s="16">
        <f t="shared" si="2"/>
        <v>1E-3</v>
      </c>
      <c r="J20" s="16">
        <f>ROUND(G20/130-1,2)</f>
        <v>0.88</v>
      </c>
    </row>
    <row r="21" spans="1:10" x14ac:dyDescent="0.25">
      <c r="A21" s="1" t="s">
        <v>16</v>
      </c>
      <c r="B21" s="1" t="s">
        <v>33</v>
      </c>
      <c r="C21" s="11"/>
      <c r="D21" s="11"/>
      <c r="E21" s="11"/>
      <c r="F21" s="11">
        <v>302</v>
      </c>
      <c r="G21" s="11">
        <f t="shared" si="0"/>
        <v>302</v>
      </c>
      <c r="H21" s="17">
        <f t="shared" si="1"/>
        <v>0.53</v>
      </c>
      <c r="I21" s="16">
        <f t="shared" si="2"/>
        <v>2E-3</v>
      </c>
      <c r="J21" s="16">
        <f>ROUND(G21/565-1,2)</f>
        <v>-0.47</v>
      </c>
    </row>
    <row r="22" spans="1:10" x14ac:dyDescent="0.25">
      <c r="A22" s="1" t="s">
        <v>16</v>
      </c>
      <c r="B22" s="1" t="s">
        <v>34</v>
      </c>
      <c r="C22" s="11"/>
      <c r="D22" s="11">
        <v>30</v>
      </c>
      <c r="E22" s="11">
        <v>6</v>
      </c>
      <c r="F22" s="11"/>
      <c r="G22" s="11">
        <f t="shared" si="0"/>
        <v>36</v>
      </c>
      <c r="H22" s="17">
        <f t="shared" si="1"/>
        <v>0.06</v>
      </c>
      <c r="I22" s="16">
        <f t="shared" si="2"/>
        <v>0</v>
      </c>
      <c r="J22" s="16">
        <f>ROUND(G22/52-1,2)</f>
        <v>-0.31</v>
      </c>
    </row>
    <row r="23" spans="1:10" x14ac:dyDescent="0.25">
      <c r="A23" s="1" t="s">
        <v>16</v>
      </c>
      <c r="B23" s="1" t="s">
        <v>35</v>
      </c>
      <c r="C23" s="11"/>
      <c r="D23" s="11"/>
      <c r="E23" s="11"/>
      <c r="F23" s="11">
        <v>235</v>
      </c>
      <c r="G23" s="11">
        <f t="shared" si="0"/>
        <v>235</v>
      </c>
      <c r="H23" s="17">
        <f t="shared" si="1"/>
        <v>0.41</v>
      </c>
      <c r="I23" s="16">
        <f t="shared" si="2"/>
        <v>1E-3</v>
      </c>
      <c r="J23" s="16"/>
    </row>
    <row r="24" spans="1:10" x14ac:dyDescent="0.25">
      <c r="A24" s="1" t="s">
        <v>16</v>
      </c>
      <c r="B24" s="1" t="s">
        <v>36</v>
      </c>
      <c r="C24" s="11"/>
      <c r="D24" s="11"/>
      <c r="E24" s="11"/>
      <c r="F24" s="11">
        <v>182</v>
      </c>
      <c r="G24" s="11">
        <f t="shared" si="0"/>
        <v>182</v>
      </c>
      <c r="H24" s="17">
        <f t="shared" si="1"/>
        <v>0.32</v>
      </c>
      <c r="I24" s="16">
        <f t="shared" si="2"/>
        <v>1E-3</v>
      </c>
      <c r="J24" s="16">
        <f>ROUND(G24/328-1,2)</f>
        <v>-0.45</v>
      </c>
    </row>
    <row r="25" spans="1:10" x14ac:dyDescent="0.25">
      <c r="A25" s="1" t="s">
        <v>16</v>
      </c>
      <c r="B25" s="1" t="s">
        <v>37</v>
      </c>
      <c r="C25" s="11"/>
      <c r="D25" s="11"/>
      <c r="E25" s="11"/>
      <c r="F25" s="11">
        <v>423</v>
      </c>
      <c r="G25" s="11">
        <f t="shared" si="0"/>
        <v>423</v>
      </c>
      <c r="H25" s="17">
        <f t="shared" si="1"/>
        <v>0.74</v>
      </c>
      <c r="I25" s="16">
        <f t="shared" si="2"/>
        <v>2E-3</v>
      </c>
      <c r="J25" s="16">
        <f>ROUND(G25/1011.5-1,2)</f>
        <v>-0.57999999999999996</v>
      </c>
    </row>
    <row r="26" spans="1:10" x14ac:dyDescent="0.25">
      <c r="A26" s="1" t="s">
        <v>16</v>
      </c>
      <c r="B26" s="1" t="s">
        <v>39</v>
      </c>
      <c r="C26" s="11"/>
      <c r="D26" s="11"/>
      <c r="E26" s="11"/>
      <c r="F26" s="11">
        <v>1985</v>
      </c>
      <c r="G26" s="11">
        <f t="shared" si="0"/>
        <v>1985</v>
      </c>
      <c r="H26" s="17">
        <f t="shared" si="1"/>
        <v>3.49</v>
      </c>
      <c r="I26" s="16">
        <f t="shared" si="2"/>
        <v>0.01</v>
      </c>
      <c r="J26" s="16">
        <f>ROUND(G26/2262-1,2)</f>
        <v>-0.12</v>
      </c>
    </row>
    <row r="27" spans="1:10" x14ac:dyDescent="0.25">
      <c r="A27" s="1" t="s">
        <v>16</v>
      </c>
      <c r="B27" s="1" t="s">
        <v>40</v>
      </c>
      <c r="C27" s="11"/>
      <c r="D27" s="11"/>
      <c r="E27" s="11">
        <v>22170</v>
      </c>
      <c r="F27" s="11"/>
      <c r="G27" s="11">
        <f t="shared" si="0"/>
        <v>22170</v>
      </c>
      <c r="H27" s="17">
        <f t="shared" si="1"/>
        <v>39.03</v>
      </c>
      <c r="I27" s="16">
        <f t="shared" si="2"/>
        <v>0.111</v>
      </c>
      <c r="J27" s="16">
        <f>ROUND(G27/15980-1,2)</f>
        <v>0.39</v>
      </c>
    </row>
    <row r="28" spans="1:10" x14ac:dyDescent="0.25">
      <c r="A28" s="1" t="s">
        <v>16</v>
      </c>
      <c r="B28" s="1" t="s">
        <v>41</v>
      </c>
      <c r="C28" s="11"/>
      <c r="D28" s="11"/>
      <c r="E28" s="11">
        <v>3030</v>
      </c>
      <c r="F28" s="11"/>
      <c r="G28" s="11">
        <f t="shared" si="0"/>
        <v>3030</v>
      </c>
      <c r="H28" s="17">
        <f t="shared" si="1"/>
        <v>5.33</v>
      </c>
      <c r="I28" s="16">
        <f t="shared" si="2"/>
        <v>1.4999999999999999E-2</v>
      </c>
      <c r="J28" s="16">
        <f>ROUND(G28/2770-1,2)</f>
        <v>0.09</v>
      </c>
    </row>
    <row r="29" spans="1:10" x14ac:dyDescent="0.25">
      <c r="A29" s="1" t="s">
        <v>16</v>
      </c>
      <c r="B29" s="1" t="s">
        <v>42</v>
      </c>
      <c r="C29" s="11"/>
      <c r="D29" s="11"/>
      <c r="E29" s="11">
        <v>2600</v>
      </c>
      <c r="F29" s="11"/>
      <c r="G29" s="11">
        <f t="shared" si="0"/>
        <v>2600</v>
      </c>
      <c r="H29" s="17">
        <f t="shared" si="1"/>
        <v>4.58</v>
      </c>
      <c r="I29" s="16">
        <f t="shared" si="2"/>
        <v>1.2999999999999999E-2</v>
      </c>
      <c r="J29" s="16">
        <f>ROUND(G29/5170-1,2)</f>
        <v>-0.5</v>
      </c>
    </row>
    <row r="30" spans="1:10" x14ac:dyDescent="0.25">
      <c r="A30" s="1" t="s">
        <v>16</v>
      </c>
      <c r="B30" s="1" t="s">
        <v>38</v>
      </c>
      <c r="C30" s="11"/>
      <c r="D30" s="11"/>
      <c r="E30" s="11"/>
      <c r="F30" s="11"/>
      <c r="G30" s="11">
        <f t="shared" si="0"/>
        <v>0</v>
      </c>
      <c r="H30" s="17">
        <f t="shared" si="1"/>
        <v>0</v>
      </c>
      <c r="I30" s="16">
        <f t="shared" si="2"/>
        <v>0</v>
      </c>
      <c r="J30" s="16">
        <f>ROUND(G30/2403-1,2)</f>
        <v>-1</v>
      </c>
    </row>
    <row r="31" spans="1:10" x14ac:dyDescent="0.25">
      <c r="A31" s="1" t="s">
        <v>45</v>
      </c>
      <c r="B31" s="1" t="s">
        <v>46</v>
      </c>
      <c r="C31" s="11">
        <v>60000</v>
      </c>
      <c r="D31" s="11"/>
      <c r="E31" s="11"/>
      <c r="F31" s="11"/>
      <c r="G31" s="11">
        <f t="shared" si="0"/>
        <v>60000</v>
      </c>
      <c r="H31" s="17">
        <f t="shared" si="1"/>
        <v>105.63</v>
      </c>
      <c r="I31" s="16">
        <f t="shared" si="2"/>
        <v>0.3</v>
      </c>
      <c r="J31" s="16">
        <f>ROUND(G31/58070-1,2)</f>
        <v>0.03</v>
      </c>
    </row>
    <row r="32" spans="1:10" x14ac:dyDescent="0.25">
      <c r="A32" s="1" t="s">
        <v>45</v>
      </c>
      <c r="B32" s="1" t="s">
        <v>47</v>
      </c>
      <c r="C32" s="11"/>
      <c r="D32" s="11"/>
      <c r="E32" s="11">
        <v>11760</v>
      </c>
      <c r="F32" s="11"/>
      <c r="G32" s="11">
        <f t="shared" si="0"/>
        <v>11760</v>
      </c>
      <c r="H32" s="17">
        <f t="shared" si="1"/>
        <v>20.7</v>
      </c>
      <c r="I32" s="16">
        <f t="shared" si="2"/>
        <v>5.8999999999999997E-2</v>
      </c>
      <c r="J32" s="16">
        <f>ROUND(G32/10540-1,2)</f>
        <v>0.12</v>
      </c>
    </row>
    <row r="33" spans="1:10" x14ac:dyDescent="0.25">
      <c r="A33" s="26" t="s">
        <v>12</v>
      </c>
      <c r="B33" s="26"/>
      <c r="C33" s="12">
        <f t="shared" ref="C33:H33" si="3">SUM(C8:C32)</f>
        <v>154000</v>
      </c>
      <c r="D33" s="12">
        <f t="shared" si="3"/>
        <v>30</v>
      </c>
      <c r="E33" s="12">
        <f t="shared" si="3"/>
        <v>41100</v>
      </c>
      <c r="F33" s="12">
        <f t="shared" si="3"/>
        <v>4680</v>
      </c>
      <c r="G33" s="12">
        <f t="shared" si="3"/>
        <v>199810</v>
      </c>
      <c r="H33" s="15">
        <f t="shared" si="3"/>
        <v>351.74000000000007</v>
      </c>
      <c r="I33" s="18"/>
      <c r="J33" s="18"/>
    </row>
    <row r="34" spans="1:10" x14ac:dyDescent="0.25">
      <c r="A34" s="26" t="s">
        <v>14</v>
      </c>
      <c r="B34" s="26"/>
      <c r="C34" s="13">
        <f>ROUND(C33/G33,2)</f>
        <v>0.77</v>
      </c>
      <c r="D34" s="13">
        <f>ROUND(D33/G33,2)</f>
        <v>0</v>
      </c>
      <c r="E34" s="13">
        <f>ROUND(E33/G33,2)</f>
        <v>0.21</v>
      </c>
      <c r="F34" s="13">
        <f>ROUND(F33/G33,2)</f>
        <v>0.02</v>
      </c>
      <c r="G34" s="14"/>
      <c r="H34" s="14"/>
      <c r="I34" s="18"/>
      <c r="J34" s="18"/>
    </row>
    <row r="35" spans="1:10" x14ac:dyDescent="0.25">
      <c r="A35" s="2" t="s">
        <v>53</v>
      </c>
      <c r="B35" s="2"/>
      <c r="C35" s="14"/>
      <c r="D35" s="14"/>
      <c r="E35" s="14"/>
      <c r="F35" s="14"/>
      <c r="G35" s="14"/>
      <c r="H35" s="14"/>
      <c r="I35" s="18"/>
      <c r="J35" s="18"/>
    </row>
    <row r="36" spans="1:10" x14ac:dyDescent="0.25">
      <c r="C36" s="9"/>
      <c r="D36" s="9"/>
      <c r="E36" s="9"/>
      <c r="F36" s="9"/>
      <c r="G36" s="9"/>
      <c r="H36" s="9"/>
      <c r="I36" s="10"/>
      <c r="J36" s="10"/>
    </row>
    <row r="37" spans="1:10" x14ac:dyDescent="0.25">
      <c r="C37" s="9"/>
      <c r="D37" s="9"/>
      <c r="E37" s="9"/>
      <c r="F37" s="9"/>
      <c r="G37" s="9"/>
      <c r="H37" s="9"/>
      <c r="I37" s="10"/>
      <c r="J37" s="10"/>
    </row>
    <row r="38" spans="1:10" x14ac:dyDescent="0.25">
      <c r="C38" s="9"/>
      <c r="D38" s="9"/>
      <c r="E38" s="9"/>
      <c r="F38" s="9"/>
      <c r="G38" s="9"/>
      <c r="H38" s="9"/>
      <c r="I38" s="10"/>
      <c r="J38" s="10"/>
    </row>
    <row r="39" spans="1:10" x14ac:dyDescent="0.25">
      <c r="A39" s="26" t="s">
        <v>54</v>
      </c>
      <c r="B39" s="26"/>
      <c r="C39" s="12" t="s">
        <v>8</v>
      </c>
      <c r="D39" s="12" t="s">
        <v>9</v>
      </c>
      <c r="E39" s="12" t="s">
        <v>10</v>
      </c>
      <c r="F39" s="12" t="s">
        <v>11</v>
      </c>
      <c r="G39" s="12" t="s">
        <v>12</v>
      </c>
      <c r="H39" s="15" t="s">
        <v>13</v>
      </c>
      <c r="I39" s="18"/>
      <c r="J39" s="18"/>
    </row>
    <row r="40" spans="1:10" x14ac:dyDescent="0.25">
      <c r="A40" s="21" t="s">
        <v>55</v>
      </c>
      <c r="B40" s="21"/>
      <c r="C40" s="11">
        <v>94000</v>
      </c>
      <c r="D40" s="11">
        <v>30</v>
      </c>
      <c r="E40" s="11">
        <v>29340</v>
      </c>
      <c r="F40" s="11">
        <v>4680</v>
      </c>
      <c r="G40" s="11">
        <f>SUM(C40:F40)</f>
        <v>128050</v>
      </c>
      <c r="H40" s="17">
        <f>ROUND(G40/568,2)</f>
        <v>225.44</v>
      </c>
      <c r="I40" s="10"/>
      <c r="J40" s="10"/>
    </row>
    <row r="41" spans="1:10" x14ac:dyDescent="0.25">
      <c r="A41" s="21" t="s">
        <v>56</v>
      </c>
      <c r="B41" s="21"/>
      <c r="C41" s="11">
        <v>60000</v>
      </c>
      <c r="D41" s="11">
        <v>0</v>
      </c>
      <c r="E41" s="11">
        <v>11760</v>
      </c>
      <c r="F41" s="11">
        <v>0</v>
      </c>
      <c r="G41" s="11">
        <f>SUM(C41:F41)</f>
        <v>71760</v>
      </c>
      <c r="H41" s="17">
        <f>ROUND(G41/568,2)</f>
        <v>126.34</v>
      </c>
      <c r="I41" s="10"/>
      <c r="J41" s="10"/>
    </row>
    <row r="42" spans="1:10" x14ac:dyDescent="0.25">
      <c r="A42" s="21" t="s">
        <v>57</v>
      </c>
      <c r="B42" s="21"/>
      <c r="C42" s="11"/>
      <c r="D42" s="11"/>
      <c r="E42" s="11"/>
      <c r="F42" s="11"/>
      <c r="G42" s="11">
        <f>SUM(C42:F42)</f>
        <v>0</v>
      </c>
      <c r="H42" s="17">
        <f>ROUND(G42/568,2)</f>
        <v>0</v>
      </c>
      <c r="I42" s="10"/>
      <c r="J42" s="10"/>
    </row>
    <row r="43" spans="1:10" x14ac:dyDescent="0.25">
      <c r="C43" s="9"/>
      <c r="D43" s="9"/>
      <c r="E43" s="9"/>
      <c r="F43" s="9"/>
      <c r="G43" s="9"/>
      <c r="H43" s="9"/>
      <c r="I43" s="10"/>
      <c r="J43" s="10"/>
    </row>
    <row r="44" spans="1:10" x14ac:dyDescent="0.25">
      <c r="C44" s="9"/>
      <c r="D44" s="9"/>
      <c r="E44" s="9"/>
      <c r="F44" s="9"/>
      <c r="G44" s="9"/>
      <c r="H44" s="9"/>
      <c r="I44" s="10"/>
      <c r="J44" s="10"/>
    </row>
    <row r="45" spans="1:10" x14ac:dyDescent="0.25">
      <c r="C45" s="9"/>
      <c r="D45" s="9"/>
      <c r="E45" s="9"/>
      <c r="F45" s="9"/>
      <c r="G45" s="9"/>
      <c r="H45" s="9"/>
      <c r="I45" s="10"/>
      <c r="J45" s="10"/>
    </row>
    <row r="46" spans="1:10" x14ac:dyDescent="0.25">
      <c r="C46" s="9"/>
      <c r="D46" s="9"/>
      <c r="E46" s="9"/>
      <c r="F46" s="9"/>
      <c r="G46" s="9"/>
      <c r="H46" s="9"/>
      <c r="I46" s="10"/>
      <c r="J46" s="10"/>
    </row>
    <row r="47" spans="1:10" x14ac:dyDescent="0.25">
      <c r="A47" s="26" t="s">
        <v>58</v>
      </c>
      <c r="B47" s="26"/>
      <c r="C47" s="15" t="s">
        <v>2</v>
      </c>
      <c r="D47" s="15">
        <v>2024</v>
      </c>
      <c r="E47" s="15" t="s">
        <v>60</v>
      </c>
      <c r="F47" s="14"/>
      <c r="G47" s="15" t="s">
        <v>61</v>
      </c>
      <c r="H47" s="15" t="s">
        <v>2</v>
      </c>
      <c r="I47" s="13" t="s">
        <v>62</v>
      </c>
      <c r="J47" s="13" t="s">
        <v>60</v>
      </c>
    </row>
    <row r="48" spans="1:10" x14ac:dyDescent="0.25">
      <c r="A48" s="21" t="s">
        <v>59</v>
      </c>
      <c r="B48" s="21"/>
      <c r="C48" s="16">
        <f>ROUND(0.6997, 4)</f>
        <v>0.69969999999999999</v>
      </c>
      <c r="D48" s="16">
        <f>ROUND(0.7058, 4)</f>
        <v>0.70579999999999998</v>
      </c>
      <c r="E48" s="16">
        <f>ROUND(0.7856, 4)</f>
        <v>0.78559999999999997</v>
      </c>
      <c r="F48" s="9"/>
      <c r="G48" s="15" t="s">
        <v>63</v>
      </c>
      <c r="H48" s="27" t="s">
        <v>64</v>
      </c>
      <c r="I48" s="24" t="s">
        <v>65</v>
      </c>
      <c r="J48" s="24" t="s">
        <v>66</v>
      </c>
    </row>
    <row r="49" spans="1:10" x14ac:dyDescent="0.25">
      <c r="A49" s="21" t="s">
        <v>67</v>
      </c>
      <c r="B49" s="21"/>
      <c r="C49" s="16">
        <f>ROUND(0.6997, 4)</f>
        <v>0.69969999999999999</v>
      </c>
      <c r="D49" s="16">
        <f>ROUND(0.6941, 4)</f>
        <v>0.69410000000000005</v>
      </c>
      <c r="E49" s="16">
        <f>ROUND(0.7702, 4)</f>
        <v>0.7702</v>
      </c>
      <c r="F49" s="9"/>
      <c r="G49" s="15" t="s">
        <v>68</v>
      </c>
      <c r="H49" s="28"/>
      <c r="I49" s="25"/>
      <c r="J49" s="25"/>
    </row>
    <row r="50" spans="1:10" x14ac:dyDescent="0.25">
      <c r="C50" s="9"/>
      <c r="D50" s="9"/>
      <c r="E50" s="9"/>
      <c r="F50" s="9"/>
      <c r="G50" s="9"/>
      <c r="H50" s="9"/>
      <c r="I50" s="10"/>
      <c r="J50" s="10"/>
    </row>
    <row r="51" spans="1:10" x14ac:dyDescent="0.25">
      <c r="C51" s="9"/>
      <c r="D51" s="9"/>
      <c r="E51" s="9"/>
      <c r="F51" s="9"/>
      <c r="G51" s="9"/>
      <c r="H51" s="9"/>
      <c r="I51" s="10"/>
      <c r="J51" s="10"/>
    </row>
    <row r="52" spans="1:10" x14ac:dyDescent="0.25">
      <c r="C52" s="9"/>
      <c r="D52" s="9"/>
      <c r="E52" s="9"/>
      <c r="F52" s="9"/>
      <c r="G52" s="9"/>
      <c r="H52" s="9"/>
      <c r="I52" s="10"/>
      <c r="J52" s="10"/>
    </row>
    <row r="53" spans="1:10" x14ac:dyDescent="0.25">
      <c r="A53" s="26" t="s">
        <v>69</v>
      </c>
      <c r="B53" s="26"/>
      <c r="C53" s="15" t="s">
        <v>2</v>
      </c>
      <c r="D53" s="15" t="s">
        <v>326</v>
      </c>
      <c r="E53" s="15" t="s">
        <v>71</v>
      </c>
      <c r="F53" s="15" t="s">
        <v>72</v>
      </c>
      <c r="G53" s="15" t="s">
        <v>73</v>
      </c>
      <c r="H53" s="14"/>
      <c r="I53" s="18"/>
      <c r="J53" s="18"/>
    </row>
    <row r="54" spans="1:10" x14ac:dyDescent="0.25">
      <c r="A54" s="21" t="s">
        <v>74</v>
      </c>
      <c r="B54" s="21"/>
      <c r="C54" s="17">
        <v>105.63</v>
      </c>
      <c r="D54" s="17">
        <v>105.94</v>
      </c>
      <c r="E54" s="17">
        <v>96.15</v>
      </c>
      <c r="F54" s="17">
        <v>57.94</v>
      </c>
      <c r="G54" s="17">
        <f>12/12*C54</f>
        <v>105.63</v>
      </c>
      <c r="H54" s="9"/>
      <c r="I54" s="10"/>
      <c r="J54" s="10"/>
    </row>
    <row r="55" spans="1:10" x14ac:dyDescent="0.25">
      <c r="A55" s="21" t="s">
        <v>75</v>
      </c>
      <c r="B55" s="21"/>
      <c r="C55" s="17">
        <v>44.26</v>
      </c>
      <c r="D55" s="17">
        <v>46.35</v>
      </c>
      <c r="E55" s="17">
        <v>62.28</v>
      </c>
      <c r="F55" s="17">
        <v>66.599999999999994</v>
      </c>
      <c r="G55" s="17">
        <f>12/12*C55</f>
        <v>44.26</v>
      </c>
      <c r="H55" s="9"/>
      <c r="I55" s="10"/>
      <c r="J55" s="10"/>
    </row>
    <row r="56" spans="1:10" x14ac:dyDescent="0.25">
      <c r="A56" s="21" t="s">
        <v>76</v>
      </c>
      <c r="B56" s="21"/>
      <c r="C56" s="17">
        <v>225.44</v>
      </c>
      <c r="D56" s="17">
        <v>216.07</v>
      </c>
      <c r="E56" s="17">
        <v>300.02</v>
      </c>
      <c r="F56" s="17">
        <v>295.08</v>
      </c>
      <c r="G56" s="17">
        <f>12/12*C56</f>
        <v>225.44</v>
      </c>
      <c r="H56" s="9"/>
      <c r="I56" s="10"/>
      <c r="J56" s="10"/>
    </row>
    <row r="57" spans="1:10" x14ac:dyDescent="0.25">
      <c r="A57" s="21" t="s">
        <v>77</v>
      </c>
      <c r="B57" s="21"/>
      <c r="C57" s="17">
        <v>126.34</v>
      </c>
      <c r="D57" s="17">
        <v>121.01</v>
      </c>
      <c r="E57" s="17">
        <v>120.96</v>
      </c>
      <c r="F57" s="17">
        <v>83.12</v>
      </c>
      <c r="G57" s="17">
        <f>12/12*C57</f>
        <v>126.34</v>
      </c>
      <c r="H57" s="9"/>
      <c r="I57" s="10"/>
      <c r="J57" s="10"/>
    </row>
    <row r="58" spans="1:10" x14ac:dyDescent="0.25">
      <c r="C58" s="9"/>
      <c r="D58" s="9"/>
      <c r="E58" s="9"/>
      <c r="F58" s="9"/>
      <c r="G58" s="9"/>
      <c r="H58" s="9"/>
      <c r="I58" s="10"/>
      <c r="J58" s="10"/>
    </row>
    <row r="59" spans="1:10" x14ac:dyDescent="0.25">
      <c r="C59" s="9"/>
      <c r="D59" s="9"/>
      <c r="E59" s="9"/>
      <c r="F59" s="9"/>
      <c r="G59" s="9"/>
      <c r="H59" s="9"/>
      <c r="I59" s="10"/>
      <c r="J59" s="10"/>
    </row>
    <row r="60" spans="1:10" x14ac:dyDescent="0.25">
      <c r="A60" s="22" t="s">
        <v>61</v>
      </c>
      <c r="B60" s="23"/>
      <c r="C60" s="9"/>
      <c r="D60" s="9"/>
      <c r="E60" s="9"/>
      <c r="F60" s="9"/>
      <c r="G60" s="9"/>
      <c r="H60" s="9"/>
      <c r="I60" s="10"/>
      <c r="J60" s="10"/>
    </row>
    <row r="61" spans="1:10" x14ac:dyDescent="0.25">
      <c r="A61" s="3" t="s">
        <v>78</v>
      </c>
      <c r="B61" s="1" t="s">
        <v>327</v>
      </c>
      <c r="C61" s="9"/>
      <c r="D61" s="9"/>
      <c r="E61" s="9"/>
      <c r="F61" s="9"/>
      <c r="G61" s="9"/>
      <c r="H61" s="9"/>
      <c r="I61" s="10"/>
      <c r="J61" s="10"/>
    </row>
    <row r="62" spans="1:10" x14ac:dyDescent="0.25">
      <c r="A62" s="3" t="s">
        <v>71</v>
      </c>
      <c r="B62" s="1" t="s">
        <v>80</v>
      </c>
      <c r="C62" s="9"/>
      <c r="D62" s="9"/>
      <c r="E62" s="9"/>
      <c r="F62" s="9"/>
      <c r="G62" s="9"/>
      <c r="H62" s="9"/>
      <c r="I62" s="10"/>
      <c r="J62" s="10"/>
    </row>
    <row r="63" spans="1:10" x14ac:dyDescent="0.25">
      <c r="A63" s="3" t="s">
        <v>72</v>
      </c>
      <c r="B63" s="1" t="s">
        <v>81</v>
      </c>
      <c r="C63" s="9"/>
      <c r="D63" s="9"/>
      <c r="E63" s="9"/>
      <c r="F63" s="9"/>
      <c r="G63" s="9"/>
      <c r="H63" s="9"/>
      <c r="I63" s="10"/>
      <c r="J63" s="10"/>
    </row>
    <row r="64" spans="1:10" x14ac:dyDescent="0.25">
      <c r="A64" s="3" t="s">
        <v>73</v>
      </c>
      <c r="B64" s="1" t="s">
        <v>82</v>
      </c>
      <c r="C64" s="9"/>
      <c r="D64" s="9"/>
      <c r="E64" s="9"/>
      <c r="F64" s="9"/>
      <c r="G64" s="9"/>
      <c r="H64" s="9"/>
      <c r="I64" s="10"/>
      <c r="J64" s="10"/>
    </row>
    <row r="65" spans="3:10" x14ac:dyDescent="0.25">
      <c r="C65" s="9"/>
      <c r="D65" s="9"/>
      <c r="E65" s="9"/>
      <c r="F65" s="9"/>
      <c r="G65" s="9"/>
      <c r="H65" s="9"/>
      <c r="I65" s="10"/>
      <c r="J65" s="10"/>
    </row>
    <row r="66" spans="3:10" x14ac:dyDescent="0.25">
      <c r="C66" s="9"/>
      <c r="D66" s="9"/>
      <c r="E66" s="9"/>
      <c r="F66" s="9"/>
      <c r="G66" s="9"/>
      <c r="H66" s="9"/>
      <c r="I66" s="10"/>
      <c r="J66" s="10"/>
    </row>
    <row r="67" spans="3:10" x14ac:dyDescent="0.25">
      <c r="C67" s="9"/>
      <c r="D67" s="9"/>
      <c r="E67" s="9"/>
      <c r="F67" s="9"/>
      <c r="G67" s="9"/>
      <c r="H67" s="9"/>
      <c r="I67" s="10"/>
      <c r="J67" s="10"/>
    </row>
  </sheetData>
  <mergeCells count="19">
    <mergeCell ref="C7:G7"/>
    <mergeCell ref="A33:B33"/>
    <mergeCell ref="A34:B34"/>
    <mergeCell ref="A39:B39"/>
    <mergeCell ref="A40:B40"/>
    <mergeCell ref="J48:J49"/>
    <mergeCell ref="A49:B49"/>
    <mergeCell ref="A53:B53"/>
    <mergeCell ref="A54:B54"/>
    <mergeCell ref="A41:B41"/>
    <mergeCell ref="A42:B42"/>
    <mergeCell ref="A47:B47"/>
    <mergeCell ref="A48:B48"/>
    <mergeCell ref="H48:H49"/>
    <mergeCell ref="A55:B55"/>
    <mergeCell ref="A56:B56"/>
    <mergeCell ref="A57:B57"/>
    <mergeCell ref="A60:B60"/>
    <mergeCell ref="I48:I49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2:J80"/>
  <sheetViews>
    <sheetView workbookViewId="0">
      <selection activeCell="H5" sqref="H5"/>
    </sheetView>
  </sheetViews>
  <sheetFormatPr defaultRowHeight="15" x14ac:dyDescent="0.25"/>
  <cols>
    <col min="1" max="1" width="28.42578125" bestFit="1" customWidth="1"/>
    <col min="2" max="2" width="59.5703125" bestFit="1" customWidth="1"/>
    <col min="3" max="3" width="12.7109375" bestFit="1" customWidth="1"/>
    <col min="4" max="4" width="23.85546875" bestFit="1" customWidth="1"/>
    <col min="5" max="5" width="13.85546875" bestFit="1" customWidth="1"/>
    <col min="6" max="6" width="8.5703125" bestFit="1" customWidth="1"/>
    <col min="7" max="7" width="47.7109375" bestFit="1" customWidth="1"/>
    <col min="8" max="9" width="16.7109375" bestFit="1" customWidth="1"/>
    <col min="10" max="10" width="24.42578125" bestFit="1" customWidth="1"/>
  </cols>
  <sheetData>
    <row r="2" spans="1:10" ht="18.75" x14ac:dyDescent="0.3">
      <c r="A2" s="3" t="s">
        <v>0</v>
      </c>
      <c r="B2" s="4" t="s">
        <v>328</v>
      </c>
    </row>
    <row r="3" spans="1:10" x14ac:dyDescent="0.25">
      <c r="A3" s="3" t="s">
        <v>2</v>
      </c>
      <c r="B3" s="1" t="s">
        <v>3</v>
      </c>
    </row>
    <row r="4" spans="1:10" x14ac:dyDescent="0.25">
      <c r="A4" s="3" t="s">
        <v>4</v>
      </c>
      <c r="B4" s="20">
        <v>8842</v>
      </c>
    </row>
    <row r="7" spans="1:10" x14ac:dyDescent="0.25">
      <c r="C7" s="22" t="s">
        <v>5</v>
      </c>
      <c r="D7" s="21"/>
      <c r="E7" s="21"/>
      <c r="F7" s="21"/>
      <c r="G7" s="21"/>
    </row>
    <row r="8" spans="1:10" x14ac:dyDescent="0.25">
      <c r="A8" s="3" t="s">
        <v>6</v>
      </c>
      <c r="B8" s="3" t="s">
        <v>7</v>
      </c>
      <c r="C8" s="15" t="s">
        <v>8</v>
      </c>
      <c r="D8" s="15" t="s">
        <v>9</v>
      </c>
      <c r="E8" s="15" t="s">
        <v>10</v>
      </c>
      <c r="F8" s="15" t="s">
        <v>11</v>
      </c>
      <c r="G8" s="15" t="s">
        <v>12</v>
      </c>
      <c r="H8" s="15" t="s">
        <v>13</v>
      </c>
      <c r="I8" s="15" t="s">
        <v>14</v>
      </c>
      <c r="J8" s="15" t="s">
        <v>15</v>
      </c>
    </row>
    <row r="9" spans="1:10" x14ac:dyDescent="0.25">
      <c r="A9" s="1" t="s">
        <v>16</v>
      </c>
      <c r="B9" s="1" t="s">
        <v>17</v>
      </c>
      <c r="C9" s="11"/>
      <c r="D9" s="11"/>
      <c r="E9" s="11">
        <v>54</v>
      </c>
      <c r="F9" s="11"/>
      <c r="G9" s="11">
        <f t="shared" ref="G9:G35" si="0">SUM(C9:F9)</f>
        <v>54</v>
      </c>
      <c r="H9" s="17">
        <f t="shared" ref="H9:H35" si="1">ROUND(G9/8842,2)</f>
        <v>0.01</v>
      </c>
      <c r="I9" s="16">
        <f t="shared" ref="I9:I35" si="2">ROUND(G9/$G$36,3)</f>
        <v>0</v>
      </c>
      <c r="J9" s="16">
        <f>ROUND(G9/129-1,2)</f>
        <v>-0.57999999999999996</v>
      </c>
    </row>
    <row r="10" spans="1:10" x14ac:dyDescent="0.25">
      <c r="A10" s="1" t="s">
        <v>16</v>
      </c>
      <c r="B10" s="1" t="s">
        <v>19</v>
      </c>
      <c r="C10" s="11"/>
      <c r="D10" s="11"/>
      <c r="E10" s="11">
        <v>3320</v>
      </c>
      <c r="F10" s="11"/>
      <c r="G10" s="11">
        <f t="shared" si="0"/>
        <v>3320</v>
      </c>
      <c r="H10" s="17">
        <f t="shared" si="1"/>
        <v>0.38</v>
      </c>
      <c r="I10" s="16">
        <f t="shared" si="2"/>
        <v>4.0000000000000001E-3</v>
      </c>
      <c r="J10" s="16">
        <f>ROUND(G10/2220-1,2)</f>
        <v>0.5</v>
      </c>
    </row>
    <row r="11" spans="1:10" x14ac:dyDescent="0.25">
      <c r="A11" s="1" t="s">
        <v>16</v>
      </c>
      <c r="B11" s="1" t="s">
        <v>87</v>
      </c>
      <c r="C11" s="11"/>
      <c r="D11" s="11"/>
      <c r="E11" s="11">
        <v>116</v>
      </c>
      <c r="F11" s="11"/>
      <c r="G11" s="11">
        <f t="shared" si="0"/>
        <v>116</v>
      </c>
      <c r="H11" s="17">
        <f t="shared" si="1"/>
        <v>0.01</v>
      </c>
      <c r="I11" s="16">
        <f t="shared" si="2"/>
        <v>0</v>
      </c>
      <c r="J11" s="16">
        <f>ROUND(G11/367-1,2)</f>
        <v>-0.68</v>
      </c>
    </row>
    <row r="12" spans="1:10" x14ac:dyDescent="0.25">
      <c r="A12" s="1" t="s">
        <v>16</v>
      </c>
      <c r="B12" s="1" t="s">
        <v>21</v>
      </c>
      <c r="C12" s="11"/>
      <c r="D12" s="11"/>
      <c r="E12" s="11">
        <v>220</v>
      </c>
      <c r="F12" s="11"/>
      <c r="G12" s="11">
        <f t="shared" si="0"/>
        <v>220</v>
      </c>
      <c r="H12" s="17">
        <f t="shared" si="1"/>
        <v>0.02</v>
      </c>
      <c r="I12" s="16">
        <f t="shared" si="2"/>
        <v>0</v>
      </c>
      <c r="J12" s="16">
        <f>ROUND(G12/441-1,2)</f>
        <v>-0.5</v>
      </c>
    </row>
    <row r="13" spans="1:10" x14ac:dyDescent="0.25">
      <c r="A13" s="1" t="s">
        <v>16</v>
      </c>
      <c r="B13" s="1" t="s">
        <v>22</v>
      </c>
      <c r="C13" s="11"/>
      <c r="D13" s="11"/>
      <c r="E13" s="11">
        <v>2000</v>
      </c>
      <c r="F13" s="11"/>
      <c r="G13" s="11">
        <f t="shared" si="0"/>
        <v>2000</v>
      </c>
      <c r="H13" s="17">
        <f t="shared" si="1"/>
        <v>0.23</v>
      </c>
      <c r="I13" s="16">
        <f t="shared" si="2"/>
        <v>3.0000000000000001E-3</v>
      </c>
      <c r="J13" s="16">
        <f>ROUND(G13/5400-1,2)</f>
        <v>-0.63</v>
      </c>
    </row>
    <row r="14" spans="1:10" x14ac:dyDescent="0.25">
      <c r="A14" s="1" t="s">
        <v>16</v>
      </c>
      <c r="B14" s="1" t="s">
        <v>23</v>
      </c>
      <c r="C14" s="11"/>
      <c r="D14" s="11"/>
      <c r="E14" s="11">
        <v>84940</v>
      </c>
      <c r="F14" s="11"/>
      <c r="G14" s="11">
        <f t="shared" si="0"/>
        <v>84940</v>
      </c>
      <c r="H14" s="17">
        <f t="shared" si="1"/>
        <v>9.61</v>
      </c>
      <c r="I14" s="16">
        <f t="shared" si="2"/>
        <v>0.112</v>
      </c>
      <c r="J14" s="16">
        <f>ROUND(G14/71600-1,2)</f>
        <v>0.19</v>
      </c>
    </row>
    <row r="15" spans="1:10" x14ac:dyDescent="0.25">
      <c r="A15" s="1" t="s">
        <v>16</v>
      </c>
      <c r="B15" s="1" t="s">
        <v>24</v>
      </c>
      <c r="C15" s="11"/>
      <c r="D15" s="11"/>
      <c r="E15" s="11">
        <v>15820</v>
      </c>
      <c r="F15" s="11"/>
      <c r="G15" s="11">
        <f t="shared" si="0"/>
        <v>15820</v>
      </c>
      <c r="H15" s="17">
        <f t="shared" si="1"/>
        <v>1.79</v>
      </c>
      <c r="I15" s="16">
        <f t="shared" si="2"/>
        <v>2.1000000000000001E-2</v>
      </c>
      <c r="J15" s="16">
        <f>ROUND(G15/24800-1,2)</f>
        <v>-0.36</v>
      </c>
    </row>
    <row r="16" spans="1:10" x14ac:dyDescent="0.25">
      <c r="A16" s="1" t="s">
        <v>16</v>
      </c>
      <c r="B16" s="1" t="s">
        <v>25</v>
      </c>
      <c r="C16" s="11"/>
      <c r="D16" s="11"/>
      <c r="E16" s="11">
        <v>7715</v>
      </c>
      <c r="F16" s="11"/>
      <c r="G16" s="11">
        <f t="shared" si="0"/>
        <v>7715</v>
      </c>
      <c r="H16" s="17">
        <f t="shared" si="1"/>
        <v>0.87</v>
      </c>
      <c r="I16" s="16">
        <f t="shared" si="2"/>
        <v>0.01</v>
      </c>
      <c r="J16" s="16">
        <f>ROUND(G16/10040-1,2)</f>
        <v>-0.23</v>
      </c>
    </row>
    <row r="17" spans="1:10" x14ac:dyDescent="0.25">
      <c r="A17" s="1" t="s">
        <v>16</v>
      </c>
      <c r="B17" s="1" t="s">
        <v>27</v>
      </c>
      <c r="C17" s="11"/>
      <c r="D17" s="11"/>
      <c r="E17" s="11">
        <v>309</v>
      </c>
      <c r="F17" s="11"/>
      <c r="G17" s="11">
        <f t="shared" si="0"/>
        <v>309</v>
      </c>
      <c r="H17" s="17">
        <f t="shared" si="1"/>
        <v>0.03</v>
      </c>
      <c r="I17" s="16">
        <f t="shared" si="2"/>
        <v>0</v>
      </c>
      <c r="J17" s="16">
        <f>ROUND(G17/483-1,2)</f>
        <v>-0.36</v>
      </c>
    </row>
    <row r="18" spans="1:10" x14ac:dyDescent="0.25">
      <c r="A18" s="1" t="s">
        <v>16</v>
      </c>
      <c r="B18" s="1" t="s">
        <v>28</v>
      </c>
      <c r="C18" s="11"/>
      <c r="D18" s="11"/>
      <c r="E18" s="11">
        <v>305</v>
      </c>
      <c r="F18" s="11"/>
      <c r="G18" s="11">
        <f t="shared" si="0"/>
        <v>305</v>
      </c>
      <c r="H18" s="17">
        <f t="shared" si="1"/>
        <v>0.03</v>
      </c>
      <c r="I18" s="16">
        <f t="shared" si="2"/>
        <v>0</v>
      </c>
      <c r="J18" s="16">
        <f>ROUND(G18/191-1,2)</f>
        <v>0.6</v>
      </c>
    </row>
    <row r="19" spans="1:10" x14ac:dyDescent="0.25">
      <c r="A19" s="1" t="s">
        <v>16</v>
      </c>
      <c r="B19" s="1" t="s">
        <v>31</v>
      </c>
      <c r="C19" s="11"/>
      <c r="D19" s="11"/>
      <c r="E19" s="11">
        <v>1440</v>
      </c>
      <c r="F19" s="11"/>
      <c r="G19" s="11">
        <f t="shared" si="0"/>
        <v>1440</v>
      </c>
      <c r="H19" s="17">
        <f t="shared" si="1"/>
        <v>0.16</v>
      </c>
      <c r="I19" s="16">
        <f t="shared" si="2"/>
        <v>2E-3</v>
      </c>
      <c r="J19" s="16">
        <f>ROUND(G19/2660-1,2)</f>
        <v>-0.46</v>
      </c>
    </row>
    <row r="20" spans="1:10" x14ac:dyDescent="0.25">
      <c r="A20" s="1" t="s">
        <v>16</v>
      </c>
      <c r="B20" s="1" t="s">
        <v>33</v>
      </c>
      <c r="C20" s="11"/>
      <c r="D20" s="11"/>
      <c r="E20" s="11">
        <v>2370</v>
      </c>
      <c r="F20" s="11"/>
      <c r="G20" s="11">
        <f t="shared" si="0"/>
        <v>2370</v>
      </c>
      <c r="H20" s="17">
        <f t="shared" si="1"/>
        <v>0.27</v>
      </c>
      <c r="I20" s="16">
        <f t="shared" si="2"/>
        <v>3.0000000000000001E-3</v>
      </c>
      <c r="J20" s="16">
        <f>ROUND(G20/4309-1,2)</f>
        <v>-0.45</v>
      </c>
    </row>
    <row r="21" spans="1:10" x14ac:dyDescent="0.25">
      <c r="A21" s="1" t="s">
        <v>16</v>
      </c>
      <c r="B21" s="1" t="s">
        <v>34</v>
      </c>
      <c r="C21" s="11"/>
      <c r="D21" s="11"/>
      <c r="E21" s="11">
        <v>92</v>
      </c>
      <c r="F21" s="11"/>
      <c r="G21" s="11">
        <f t="shared" si="0"/>
        <v>92</v>
      </c>
      <c r="H21" s="17">
        <f t="shared" si="1"/>
        <v>0.01</v>
      </c>
      <c r="I21" s="16">
        <f t="shared" si="2"/>
        <v>0</v>
      </c>
      <c r="J21" s="16">
        <f>ROUND(G21/173-1,2)</f>
        <v>-0.47</v>
      </c>
    </row>
    <row r="22" spans="1:10" x14ac:dyDescent="0.25">
      <c r="A22" s="1" t="s">
        <v>16</v>
      </c>
      <c r="B22" s="1" t="s">
        <v>35</v>
      </c>
      <c r="C22" s="11"/>
      <c r="D22" s="11"/>
      <c r="E22" s="11">
        <v>4039</v>
      </c>
      <c r="F22" s="11"/>
      <c r="G22" s="11">
        <f t="shared" si="0"/>
        <v>4039</v>
      </c>
      <c r="H22" s="17">
        <f t="shared" si="1"/>
        <v>0.46</v>
      </c>
      <c r="I22" s="16">
        <f t="shared" si="2"/>
        <v>5.0000000000000001E-3</v>
      </c>
      <c r="J22" s="16">
        <f>ROUND(G22/2870-1,2)</f>
        <v>0.41</v>
      </c>
    </row>
    <row r="23" spans="1:10" x14ac:dyDescent="0.25">
      <c r="A23" s="1" t="s">
        <v>16</v>
      </c>
      <c r="B23" s="1" t="s">
        <v>40</v>
      </c>
      <c r="C23" s="11"/>
      <c r="D23" s="11"/>
      <c r="E23" s="11">
        <v>154985</v>
      </c>
      <c r="F23" s="11"/>
      <c r="G23" s="11">
        <f t="shared" si="0"/>
        <v>154985</v>
      </c>
      <c r="H23" s="17">
        <f t="shared" si="1"/>
        <v>17.53</v>
      </c>
      <c r="I23" s="16">
        <f t="shared" si="2"/>
        <v>0.20499999999999999</v>
      </c>
      <c r="J23" s="16">
        <f>ROUND(G23/210420-1,2)</f>
        <v>-0.26</v>
      </c>
    </row>
    <row r="24" spans="1:10" x14ac:dyDescent="0.25">
      <c r="A24" s="1" t="s">
        <v>16</v>
      </c>
      <c r="B24" s="1" t="s">
        <v>41</v>
      </c>
      <c r="C24" s="11"/>
      <c r="D24" s="11"/>
      <c r="E24" s="11">
        <v>7060</v>
      </c>
      <c r="F24" s="11"/>
      <c r="G24" s="11">
        <f t="shared" si="0"/>
        <v>7060</v>
      </c>
      <c r="H24" s="17">
        <f t="shared" si="1"/>
        <v>0.8</v>
      </c>
      <c r="I24" s="16">
        <f t="shared" si="2"/>
        <v>8.9999999999999993E-3</v>
      </c>
      <c r="J24" s="16">
        <f>ROUND(G24/9270-1,2)</f>
        <v>-0.24</v>
      </c>
    </row>
    <row r="25" spans="1:10" x14ac:dyDescent="0.25">
      <c r="A25" s="1" t="s">
        <v>16</v>
      </c>
      <c r="B25" s="1" t="s">
        <v>42</v>
      </c>
      <c r="C25" s="11"/>
      <c r="D25" s="11"/>
      <c r="E25" s="11">
        <v>33280</v>
      </c>
      <c r="F25" s="11"/>
      <c r="G25" s="11">
        <f t="shared" si="0"/>
        <v>33280</v>
      </c>
      <c r="H25" s="17">
        <f t="shared" si="1"/>
        <v>3.76</v>
      </c>
      <c r="I25" s="16">
        <f t="shared" si="2"/>
        <v>4.3999999999999997E-2</v>
      </c>
      <c r="J25" s="16">
        <f>ROUND(G25/45360-1,2)</f>
        <v>-0.27</v>
      </c>
    </row>
    <row r="26" spans="1:10" x14ac:dyDescent="0.25">
      <c r="A26" s="1" t="s">
        <v>16</v>
      </c>
      <c r="B26" s="1" t="s">
        <v>44</v>
      </c>
      <c r="C26" s="11"/>
      <c r="D26" s="11"/>
      <c r="E26" s="11">
        <v>369905</v>
      </c>
      <c r="F26" s="11"/>
      <c r="G26" s="11">
        <f t="shared" si="0"/>
        <v>369905</v>
      </c>
      <c r="H26" s="17">
        <f t="shared" si="1"/>
        <v>41.83</v>
      </c>
      <c r="I26" s="16">
        <f t="shared" si="2"/>
        <v>0.48899999999999999</v>
      </c>
      <c r="J26" s="16">
        <f>ROUND(G26/467100-1,2)</f>
        <v>-0.21</v>
      </c>
    </row>
    <row r="27" spans="1:10" x14ac:dyDescent="0.25">
      <c r="A27" s="1" t="s">
        <v>16</v>
      </c>
      <c r="B27" s="1" t="s">
        <v>30</v>
      </c>
      <c r="C27" s="11"/>
      <c r="D27" s="11"/>
      <c r="E27" s="11"/>
      <c r="F27" s="11"/>
      <c r="G27" s="11">
        <f t="shared" si="0"/>
        <v>0</v>
      </c>
      <c r="H27" s="17">
        <f t="shared" si="1"/>
        <v>0</v>
      </c>
      <c r="I27" s="16">
        <f t="shared" si="2"/>
        <v>0</v>
      </c>
      <c r="J27" s="16">
        <f>ROUND(G27/21970-1,2)</f>
        <v>-1</v>
      </c>
    </row>
    <row r="28" spans="1:10" x14ac:dyDescent="0.25">
      <c r="A28" s="1" t="s">
        <v>16</v>
      </c>
      <c r="B28" s="1" t="s">
        <v>36</v>
      </c>
      <c r="C28" s="11"/>
      <c r="D28" s="11"/>
      <c r="E28" s="11"/>
      <c r="F28" s="11"/>
      <c r="G28" s="11">
        <f t="shared" si="0"/>
        <v>0</v>
      </c>
      <c r="H28" s="17">
        <f t="shared" si="1"/>
        <v>0</v>
      </c>
      <c r="I28" s="16">
        <f t="shared" si="2"/>
        <v>0</v>
      </c>
      <c r="J28" s="16">
        <f>ROUND(G28/1125-1,2)</f>
        <v>-1</v>
      </c>
    </row>
    <row r="29" spans="1:10" x14ac:dyDescent="0.25">
      <c r="A29" s="1" t="s">
        <v>16</v>
      </c>
      <c r="B29" s="1" t="s">
        <v>37</v>
      </c>
      <c r="C29" s="11"/>
      <c r="D29" s="11"/>
      <c r="E29" s="11"/>
      <c r="F29" s="11"/>
      <c r="G29" s="11">
        <f t="shared" si="0"/>
        <v>0</v>
      </c>
      <c r="H29" s="17">
        <f t="shared" si="1"/>
        <v>0</v>
      </c>
      <c r="I29" s="16">
        <f t="shared" si="2"/>
        <v>0</v>
      </c>
      <c r="J29" s="16">
        <f>ROUND(G29/3350-1,2)</f>
        <v>-1</v>
      </c>
    </row>
    <row r="30" spans="1:10" x14ac:dyDescent="0.25">
      <c r="A30" s="1" t="s">
        <v>16</v>
      </c>
      <c r="B30" s="1" t="s">
        <v>39</v>
      </c>
      <c r="C30" s="11"/>
      <c r="D30" s="11"/>
      <c r="E30" s="11"/>
      <c r="F30" s="11"/>
      <c r="G30" s="11">
        <f t="shared" si="0"/>
        <v>0</v>
      </c>
      <c r="H30" s="17">
        <f t="shared" si="1"/>
        <v>0</v>
      </c>
      <c r="I30" s="16">
        <f t="shared" si="2"/>
        <v>0</v>
      </c>
      <c r="J30" s="16">
        <f>ROUND(G30/8030-1,2)</f>
        <v>-1</v>
      </c>
    </row>
    <row r="31" spans="1:10" x14ac:dyDescent="0.25">
      <c r="A31" s="1" t="s">
        <v>16</v>
      </c>
      <c r="B31" s="1" t="s">
        <v>38</v>
      </c>
      <c r="C31" s="11"/>
      <c r="D31" s="11"/>
      <c r="E31" s="11"/>
      <c r="F31" s="11"/>
      <c r="G31" s="11">
        <f t="shared" si="0"/>
        <v>0</v>
      </c>
      <c r="H31" s="17">
        <f t="shared" si="1"/>
        <v>0</v>
      </c>
      <c r="I31" s="16">
        <f t="shared" si="2"/>
        <v>0</v>
      </c>
      <c r="J31" s="16">
        <f>ROUND(G31/37140-1,2)</f>
        <v>-1</v>
      </c>
    </row>
    <row r="32" spans="1:10" x14ac:dyDescent="0.25">
      <c r="A32" s="1" t="s">
        <v>16</v>
      </c>
      <c r="B32" s="1" t="s">
        <v>32</v>
      </c>
      <c r="C32" s="11"/>
      <c r="D32" s="11"/>
      <c r="E32" s="11"/>
      <c r="F32" s="11"/>
      <c r="G32" s="11">
        <f t="shared" si="0"/>
        <v>0</v>
      </c>
      <c r="H32" s="17">
        <f t="shared" si="1"/>
        <v>0</v>
      </c>
      <c r="I32" s="16">
        <f t="shared" si="2"/>
        <v>0</v>
      </c>
      <c r="J32" s="16">
        <f>ROUND(G32/180-1,2)</f>
        <v>-1</v>
      </c>
    </row>
    <row r="33" spans="1:10" x14ac:dyDescent="0.25">
      <c r="A33" s="1" t="s">
        <v>16</v>
      </c>
      <c r="B33" s="1" t="s">
        <v>29</v>
      </c>
      <c r="C33" s="11"/>
      <c r="D33" s="11"/>
      <c r="E33" s="11"/>
      <c r="F33" s="11"/>
      <c r="G33" s="11">
        <f t="shared" si="0"/>
        <v>0</v>
      </c>
      <c r="H33" s="17">
        <f t="shared" si="1"/>
        <v>0</v>
      </c>
      <c r="I33" s="16">
        <f t="shared" si="2"/>
        <v>0</v>
      </c>
      <c r="J33" s="16">
        <f>ROUND(G33/586-1,2)</f>
        <v>-1</v>
      </c>
    </row>
    <row r="34" spans="1:10" x14ac:dyDescent="0.25">
      <c r="A34" s="1" t="s">
        <v>45</v>
      </c>
      <c r="B34" s="1" t="s">
        <v>47</v>
      </c>
      <c r="C34" s="11"/>
      <c r="D34" s="11"/>
      <c r="E34" s="11">
        <v>69170</v>
      </c>
      <c r="F34" s="11"/>
      <c r="G34" s="11">
        <f t="shared" si="0"/>
        <v>69170</v>
      </c>
      <c r="H34" s="17">
        <f t="shared" si="1"/>
        <v>7.82</v>
      </c>
      <c r="I34" s="16">
        <f t="shared" si="2"/>
        <v>9.0999999999999998E-2</v>
      </c>
      <c r="J34" s="16">
        <f>ROUND(G34/94050-1,2)</f>
        <v>-0.26</v>
      </c>
    </row>
    <row r="35" spans="1:10" x14ac:dyDescent="0.25">
      <c r="A35" s="1" t="s">
        <v>49</v>
      </c>
      <c r="B35" s="1" t="s">
        <v>52</v>
      </c>
      <c r="C35" s="11"/>
      <c r="D35" s="11"/>
      <c r="E35" s="11"/>
      <c r="F35" s="11"/>
      <c r="G35" s="11">
        <f t="shared" si="0"/>
        <v>0</v>
      </c>
      <c r="H35" s="17">
        <f t="shared" si="1"/>
        <v>0</v>
      </c>
      <c r="I35" s="16">
        <f t="shared" si="2"/>
        <v>0</v>
      </c>
      <c r="J35" s="16"/>
    </row>
    <row r="36" spans="1:10" x14ac:dyDescent="0.25">
      <c r="A36" s="26" t="s">
        <v>12</v>
      </c>
      <c r="B36" s="26"/>
      <c r="C36" s="12">
        <f t="shared" ref="C36:H36" si="3">SUM(C8:C35)</f>
        <v>0</v>
      </c>
      <c r="D36" s="12">
        <f t="shared" si="3"/>
        <v>0</v>
      </c>
      <c r="E36" s="12">
        <f t="shared" si="3"/>
        <v>757140</v>
      </c>
      <c r="F36" s="12">
        <f t="shared" si="3"/>
        <v>0</v>
      </c>
      <c r="G36" s="12">
        <f t="shared" si="3"/>
        <v>757140</v>
      </c>
      <c r="H36" s="15">
        <f t="shared" si="3"/>
        <v>85.62</v>
      </c>
      <c r="I36" s="18"/>
      <c r="J36" s="18"/>
    </row>
    <row r="37" spans="1:10" x14ac:dyDescent="0.25">
      <c r="A37" s="26" t="s">
        <v>14</v>
      </c>
      <c r="B37" s="26"/>
      <c r="C37" s="13">
        <f>ROUND(C36/G36,2)</f>
        <v>0</v>
      </c>
      <c r="D37" s="13">
        <f>ROUND(D36/G36,2)</f>
        <v>0</v>
      </c>
      <c r="E37" s="13">
        <f>ROUND(E36/G36,2)</f>
        <v>1</v>
      </c>
      <c r="F37" s="13">
        <f>ROUND(F36/G36,2)</f>
        <v>0</v>
      </c>
      <c r="G37" s="14"/>
      <c r="H37" s="14"/>
      <c r="I37" s="18"/>
      <c r="J37" s="18"/>
    </row>
    <row r="38" spans="1:10" x14ac:dyDescent="0.25">
      <c r="A38" s="2" t="s">
        <v>53</v>
      </c>
      <c r="B38" s="2"/>
      <c r="C38" s="14"/>
      <c r="D38" s="14"/>
      <c r="E38" s="14"/>
      <c r="F38" s="14"/>
      <c r="G38" s="14"/>
      <c r="H38" s="14"/>
      <c r="I38" s="18"/>
      <c r="J38" s="18"/>
    </row>
    <row r="39" spans="1:10" x14ac:dyDescent="0.25">
      <c r="C39" s="9"/>
      <c r="D39" s="9"/>
      <c r="E39" s="9"/>
      <c r="F39" s="9"/>
      <c r="G39" s="9"/>
      <c r="H39" s="9"/>
      <c r="I39" s="10"/>
      <c r="J39" s="10"/>
    </row>
    <row r="40" spans="1:10" x14ac:dyDescent="0.25">
      <c r="C40" s="9"/>
      <c r="D40" s="9"/>
      <c r="E40" s="9"/>
      <c r="F40" s="9"/>
      <c r="G40" s="9"/>
      <c r="H40" s="9"/>
      <c r="I40" s="10"/>
      <c r="J40" s="10"/>
    </row>
    <row r="41" spans="1:10" x14ac:dyDescent="0.25">
      <c r="C41" s="9"/>
      <c r="D41" s="9"/>
      <c r="E41" s="9"/>
      <c r="F41" s="9"/>
      <c r="G41" s="9"/>
      <c r="H41" s="9"/>
      <c r="I41" s="10"/>
      <c r="J41" s="10"/>
    </row>
    <row r="42" spans="1:10" x14ac:dyDescent="0.25">
      <c r="A42" s="26" t="s">
        <v>54</v>
      </c>
      <c r="B42" s="26"/>
      <c r="C42" s="12" t="s">
        <v>8</v>
      </c>
      <c r="D42" s="12" t="s">
        <v>9</v>
      </c>
      <c r="E42" s="12" t="s">
        <v>10</v>
      </c>
      <c r="F42" s="12" t="s">
        <v>11</v>
      </c>
      <c r="G42" s="12" t="s">
        <v>12</v>
      </c>
      <c r="H42" s="15" t="s">
        <v>13</v>
      </c>
      <c r="I42" s="18"/>
      <c r="J42" s="18"/>
    </row>
    <row r="43" spans="1:10" x14ac:dyDescent="0.25">
      <c r="A43" s="21" t="s">
        <v>55</v>
      </c>
      <c r="B43" s="21"/>
      <c r="C43" s="11">
        <v>0</v>
      </c>
      <c r="D43" s="11">
        <v>0</v>
      </c>
      <c r="E43" s="11">
        <v>687970</v>
      </c>
      <c r="F43" s="11">
        <v>0</v>
      </c>
      <c r="G43" s="11">
        <f>SUM(C43:F43)</f>
        <v>687970</v>
      </c>
      <c r="H43" s="17">
        <f>ROUND(G43/8842,2)</f>
        <v>77.81</v>
      </c>
      <c r="I43" s="10"/>
      <c r="J43" s="10"/>
    </row>
    <row r="44" spans="1:10" x14ac:dyDescent="0.25">
      <c r="A44" s="21" t="s">
        <v>56</v>
      </c>
      <c r="B44" s="21"/>
      <c r="C44" s="11">
        <v>0</v>
      </c>
      <c r="D44" s="11">
        <v>0</v>
      </c>
      <c r="E44" s="11">
        <v>69170</v>
      </c>
      <c r="F44" s="11">
        <v>0</v>
      </c>
      <c r="G44" s="11">
        <f>SUM(C44:F44)</f>
        <v>69170</v>
      </c>
      <c r="H44" s="17">
        <f>ROUND(G44/8842,2)</f>
        <v>7.82</v>
      </c>
      <c r="I44" s="10"/>
      <c r="J44" s="10"/>
    </row>
    <row r="45" spans="1:10" x14ac:dyDescent="0.25">
      <c r="A45" s="21" t="s">
        <v>57</v>
      </c>
      <c r="B45" s="21"/>
      <c r="C45" s="11">
        <v>0</v>
      </c>
      <c r="D45" s="11">
        <v>0</v>
      </c>
      <c r="E45" s="11">
        <v>0</v>
      </c>
      <c r="F45" s="11">
        <v>0</v>
      </c>
      <c r="G45" s="11">
        <f>SUM(C45:F45)</f>
        <v>0</v>
      </c>
      <c r="H45" s="17">
        <f>ROUND(G45/8842,2)</f>
        <v>0</v>
      </c>
      <c r="I45" s="10"/>
      <c r="J45" s="10"/>
    </row>
    <row r="46" spans="1:10" x14ac:dyDescent="0.25">
      <c r="C46" s="9"/>
      <c r="D46" s="9"/>
      <c r="E46" s="9"/>
      <c r="F46" s="9"/>
      <c r="G46" s="9"/>
      <c r="H46" s="9"/>
      <c r="I46" s="10"/>
      <c r="J46" s="10"/>
    </row>
    <row r="47" spans="1:10" x14ac:dyDescent="0.25">
      <c r="C47" s="9"/>
      <c r="D47" s="9"/>
      <c r="E47" s="9"/>
      <c r="F47" s="9"/>
      <c r="G47" s="9"/>
      <c r="H47" s="9"/>
      <c r="I47" s="10"/>
      <c r="J47" s="10"/>
    </row>
    <row r="48" spans="1:10" x14ac:dyDescent="0.25">
      <c r="C48" s="9"/>
      <c r="D48" s="9"/>
      <c r="E48" s="9"/>
      <c r="F48" s="9"/>
      <c r="G48" s="9"/>
      <c r="H48" s="9"/>
      <c r="I48" s="10"/>
      <c r="J48" s="10"/>
    </row>
    <row r="49" spans="1:10" x14ac:dyDescent="0.25">
      <c r="C49" s="9"/>
      <c r="D49" s="9"/>
      <c r="E49" s="9"/>
      <c r="F49" s="9"/>
      <c r="G49" s="9"/>
      <c r="H49" s="9"/>
      <c r="I49" s="10"/>
      <c r="J49" s="10"/>
    </row>
    <row r="50" spans="1:10" x14ac:dyDescent="0.25">
      <c r="A50" s="26" t="s">
        <v>58</v>
      </c>
      <c r="B50" s="26"/>
      <c r="C50" s="15" t="s">
        <v>2</v>
      </c>
      <c r="D50" s="15">
        <v>2024</v>
      </c>
      <c r="E50" s="15" t="s">
        <v>60</v>
      </c>
      <c r="F50" s="14"/>
      <c r="G50" s="15" t="s">
        <v>61</v>
      </c>
      <c r="H50" s="15" t="s">
        <v>2</v>
      </c>
      <c r="I50" s="13" t="s">
        <v>62</v>
      </c>
      <c r="J50" s="13" t="s">
        <v>60</v>
      </c>
    </row>
    <row r="51" spans="1:10" x14ac:dyDescent="0.25">
      <c r="A51" s="21" t="s">
        <v>59</v>
      </c>
      <c r="B51" s="21"/>
      <c r="C51" s="16">
        <f>ROUND(1, 4)</f>
        <v>1</v>
      </c>
      <c r="D51" s="16">
        <f>ROUND(0.9919, 4)</f>
        <v>0.9919</v>
      </c>
      <c r="E51" s="16">
        <f>ROUND(0.7856, 4)</f>
        <v>0.78559999999999997</v>
      </c>
      <c r="F51" s="9"/>
      <c r="G51" s="15" t="s">
        <v>63</v>
      </c>
      <c r="H51" s="27" t="s">
        <v>64</v>
      </c>
      <c r="I51" s="24" t="s">
        <v>65</v>
      </c>
      <c r="J51" s="24" t="s">
        <v>66</v>
      </c>
    </row>
    <row r="52" spans="1:10" x14ac:dyDescent="0.25">
      <c r="A52" s="21" t="s">
        <v>67</v>
      </c>
      <c r="B52" s="21"/>
      <c r="C52" s="16">
        <f>ROUND(1, 4)</f>
        <v>1</v>
      </c>
      <c r="D52" s="16">
        <f>ROUND(0.991, 4)</f>
        <v>0.99099999999999999</v>
      </c>
      <c r="E52" s="16">
        <f>ROUND(0.7702, 4)</f>
        <v>0.7702</v>
      </c>
      <c r="F52" s="9"/>
      <c r="G52" s="15" t="s">
        <v>68</v>
      </c>
      <c r="H52" s="28"/>
      <c r="I52" s="25"/>
      <c r="J52" s="25"/>
    </row>
    <row r="53" spans="1:10" x14ac:dyDescent="0.25">
      <c r="C53" s="9"/>
      <c r="D53" s="9"/>
      <c r="E53" s="9"/>
      <c r="F53" s="9"/>
      <c r="G53" s="9"/>
      <c r="H53" s="9"/>
      <c r="I53" s="10"/>
      <c r="J53" s="10"/>
    </row>
    <row r="54" spans="1:10" x14ac:dyDescent="0.25">
      <c r="C54" s="9"/>
      <c r="D54" s="9"/>
      <c r="E54" s="9"/>
      <c r="F54" s="9"/>
      <c r="G54" s="9"/>
      <c r="H54" s="9"/>
      <c r="I54" s="10"/>
      <c r="J54" s="10"/>
    </row>
    <row r="55" spans="1:10" x14ac:dyDescent="0.25">
      <c r="C55" s="9"/>
      <c r="D55" s="9"/>
      <c r="E55" s="9"/>
      <c r="F55" s="9"/>
      <c r="G55" s="9"/>
      <c r="H55" s="9"/>
      <c r="I55" s="10"/>
      <c r="J55" s="10"/>
    </row>
    <row r="56" spans="1:10" x14ac:dyDescent="0.25">
      <c r="A56" s="26" t="s">
        <v>69</v>
      </c>
      <c r="B56" s="26"/>
      <c r="C56" s="15" t="s">
        <v>2</v>
      </c>
      <c r="D56" s="15" t="s">
        <v>329</v>
      </c>
      <c r="E56" s="15" t="s">
        <v>71</v>
      </c>
      <c r="F56" s="15" t="s">
        <v>72</v>
      </c>
      <c r="G56" s="15" t="s">
        <v>73</v>
      </c>
      <c r="H56" s="14"/>
      <c r="I56" s="18"/>
      <c r="J56" s="18"/>
    </row>
    <row r="57" spans="1:10" x14ac:dyDescent="0.25">
      <c r="A57" s="21" t="s">
        <v>74</v>
      </c>
      <c r="B57" s="21"/>
      <c r="C57" s="17"/>
      <c r="D57" s="17"/>
      <c r="E57" s="17">
        <v>96.15</v>
      </c>
      <c r="F57" s="17">
        <v>57.94</v>
      </c>
      <c r="G57" s="17">
        <f>12/12*C57</f>
        <v>0</v>
      </c>
      <c r="H57" s="9"/>
      <c r="I57" s="10"/>
      <c r="J57" s="10"/>
    </row>
    <row r="58" spans="1:10" x14ac:dyDescent="0.25">
      <c r="A58" s="21" t="s">
        <v>75</v>
      </c>
      <c r="B58" s="21"/>
      <c r="C58" s="17"/>
      <c r="D58" s="17"/>
      <c r="E58" s="17">
        <v>62.28</v>
      </c>
      <c r="F58" s="17">
        <v>66.599999999999994</v>
      </c>
      <c r="G58" s="17">
        <f>12/12*C58</f>
        <v>0</v>
      </c>
      <c r="H58" s="9"/>
      <c r="I58" s="10"/>
      <c r="J58" s="10"/>
    </row>
    <row r="59" spans="1:10" x14ac:dyDescent="0.25">
      <c r="A59" s="21" t="s">
        <v>76</v>
      </c>
      <c r="B59" s="21"/>
      <c r="C59" s="17">
        <v>77.81</v>
      </c>
      <c r="D59" s="17">
        <v>91</v>
      </c>
      <c r="E59" s="17">
        <v>300.02</v>
      </c>
      <c r="F59" s="17">
        <v>295.08</v>
      </c>
      <c r="G59" s="17">
        <f>12/12*C59</f>
        <v>77.81</v>
      </c>
      <c r="H59" s="9"/>
      <c r="I59" s="10"/>
      <c r="J59" s="10"/>
    </row>
    <row r="60" spans="1:10" x14ac:dyDescent="0.25">
      <c r="A60" s="21" t="s">
        <v>77</v>
      </c>
      <c r="B60" s="21"/>
      <c r="C60" s="17">
        <v>7.82</v>
      </c>
      <c r="D60" s="17">
        <v>9.4</v>
      </c>
      <c r="E60" s="17">
        <v>120.96</v>
      </c>
      <c r="F60" s="17">
        <v>83.12</v>
      </c>
      <c r="G60" s="17">
        <f>12/12*C60</f>
        <v>7.82</v>
      </c>
      <c r="H60" s="9"/>
      <c r="I60" s="10"/>
      <c r="J60" s="10"/>
    </row>
    <row r="61" spans="1:10" x14ac:dyDescent="0.25">
      <c r="C61" s="9"/>
      <c r="D61" s="9"/>
      <c r="E61" s="9"/>
      <c r="F61" s="9"/>
      <c r="G61" s="9"/>
      <c r="H61" s="9"/>
      <c r="I61" s="10"/>
      <c r="J61" s="10"/>
    </row>
    <row r="62" spans="1:10" x14ac:dyDescent="0.25">
      <c r="C62" s="9"/>
      <c r="D62" s="9"/>
      <c r="E62" s="9"/>
      <c r="F62" s="9"/>
      <c r="G62" s="9"/>
      <c r="H62" s="9"/>
      <c r="I62" s="10"/>
      <c r="J62" s="10"/>
    </row>
    <row r="63" spans="1:10" x14ac:dyDescent="0.25">
      <c r="A63" s="22" t="s">
        <v>61</v>
      </c>
      <c r="B63" s="23"/>
      <c r="C63" s="9"/>
      <c r="D63" s="9"/>
      <c r="E63" s="9"/>
      <c r="F63" s="9"/>
      <c r="G63" s="9"/>
      <c r="H63" s="9"/>
      <c r="I63" s="10"/>
      <c r="J63" s="10"/>
    </row>
    <row r="64" spans="1:10" x14ac:dyDescent="0.25">
      <c r="A64" s="3" t="s">
        <v>78</v>
      </c>
      <c r="B64" s="1" t="s">
        <v>330</v>
      </c>
      <c r="C64" s="9"/>
      <c r="D64" s="9"/>
      <c r="E64" s="9"/>
      <c r="F64" s="9"/>
      <c r="G64" s="9"/>
      <c r="H64" s="9"/>
      <c r="I64" s="10"/>
      <c r="J64" s="10"/>
    </row>
    <row r="65" spans="1:10" x14ac:dyDescent="0.25">
      <c r="A65" s="3" t="s">
        <v>71</v>
      </c>
      <c r="B65" s="1" t="s">
        <v>80</v>
      </c>
      <c r="C65" s="9"/>
      <c r="D65" s="9"/>
      <c r="E65" s="9"/>
      <c r="F65" s="9"/>
      <c r="G65" s="9"/>
      <c r="H65" s="9"/>
      <c r="I65" s="10"/>
      <c r="J65" s="10"/>
    </row>
    <row r="66" spans="1:10" x14ac:dyDescent="0.25">
      <c r="A66" s="3" t="s">
        <v>72</v>
      </c>
      <c r="B66" s="1" t="s">
        <v>81</v>
      </c>
      <c r="C66" s="9"/>
      <c r="D66" s="9"/>
      <c r="E66" s="9"/>
      <c r="F66" s="9"/>
      <c r="G66" s="9"/>
      <c r="H66" s="9"/>
      <c r="I66" s="10"/>
      <c r="J66" s="10"/>
    </row>
    <row r="67" spans="1:10" x14ac:dyDescent="0.25">
      <c r="A67" s="3" t="s">
        <v>73</v>
      </c>
      <c r="B67" s="1" t="s">
        <v>82</v>
      </c>
      <c r="C67" s="9"/>
      <c r="D67" s="9"/>
      <c r="E67" s="9"/>
      <c r="F67" s="9"/>
      <c r="G67" s="9"/>
      <c r="H67" s="9"/>
      <c r="I67" s="10"/>
      <c r="J67" s="10"/>
    </row>
    <row r="68" spans="1:10" x14ac:dyDescent="0.25">
      <c r="C68" s="9"/>
      <c r="D68" s="9"/>
      <c r="E68" s="9"/>
      <c r="F68" s="9"/>
      <c r="G68" s="9"/>
      <c r="H68" s="9"/>
      <c r="I68" s="10"/>
      <c r="J68" s="10"/>
    </row>
    <row r="69" spans="1:10" x14ac:dyDescent="0.25">
      <c r="C69" s="9"/>
      <c r="D69" s="9"/>
      <c r="E69" s="9"/>
      <c r="F69" s="9"/>
      <c r="G69" s="9"/>
      <c r="H69" s="9"/>
      <c r="I69" s="10"/>
      <c r="J69" s="10"/>
    </row>
    <row r="70" spans="1:10" x14ac:dyDescent="0.25">
      <c r="C70" s="9"/>
      <c r="D70" s="9"/>
      <c r="E70" s="9"/>
      <c r="F70" s="9"/>
      <c r="G70" s="9"/>
      <c r="H70" s="9"/>
      <c r="I70" s="10"/>
      <c r="J70" s="10"/>
    </row>
    <row r="71" spans="1:10" x14ac:dyDescent="0.25">
      <c r="C71" s="9"/>
      <c r="D71" s="9"/>
      <c r="E71" s="9"/>
      <c r="F71" s="9"/>
      <c r="G71" s="9"/>
      <c r="H71" s="9"/>
      <c r="I71" s="10"/>
      <c r="J71" s="10"/>
    </row>
    <row r="72" spans="1:10" x14ac:dyDescent="0.25">
      <c r="C72" s="9"/>
      <c r="D72" s="9"/>
      <c r="E72" s="9"/>
      <c r="F72" s="9"/>
      <c r="G72" s="9"/>
      <c r="H72" s="9"/>
      <c r="I72" s="10"/>
      <c r="J72" s="10"/>
    </row>
    <row r="73" spans="1:10" x14ac:dyDescent="0.25">
      <c r="C73" s="9"/>
      <c r="D73" s="9"/>
      <c r="E73" s="9"/>
      <c r="F73" s="9"/>
      <c r="G73" s="9"/>
      <c r="H73" s="9"/>
      <c r="I73" s="10"/>
      <c r="J73" s="10"/>
    </row>
    <row r="74" spans="1:10" x14ac:dyDescent="0.25">
      <c r="C74" s="9"/>
      <c r="D74" s="9"/>
      <c r="E74" s="9"/>
      <c r="F74" s="9"/>
      <c r="G74" s="9"/>
      <c r="H74" s="9"/>
      <c r="I74" s="10"/>
      <c r="J74" s="10"/>
    </row>
    <row r="75" spans="1:10" x14ac:dyDescent="0.25">
      <c r="C75" s="9"/>
      <c r="D75" s="9"/>
      <c r="E75" s="9"/>
      <c r="F75" s="9"/>
      <c r="G75" s="9"/>
      <c r="H75" s="9"/>
      <c r="I75" s="10"/>
      <c r="J75" s="10"/>
    </row>
    <row r="76" spans="1:10" x14ac:dyDescent="0.25">
      <c r="C76" s="9"/>
      <c r="D76" s="9"/>
      <c r="E76" s="9"/>
      <c r="F76" s="9"/>
      <c r="G76" s="9"/>
      <c r="H76" s="9"/>
      <c r="I76" s="10"/>
      <c r="J76" s="10"/>
    </row>
    <row r="77" spans="1:10" x14ac:dyDescent="0.25">
      <c r="C77" s="9"/>
      <c r="D77" s="9"/>
      <c r="E77" s="9"/>
      <c r="F77" s="9"/>
      <c r="G77" s="9"/>
      <c r="H77" s="9"/>
      <c r="I77" s="10"/>
      <c r="J77" s="10"/>
    </row>
    <row r="78" spans="1:10" x14ac:dyDescent="0.25">
      <c r="C78" s="9"/>
      <c r="D78" s="9"/>
      <c r="E78" s="9"/>
      <c r="F78" s="9"/>
      <c r="G78" s="9"/>
      <c r="H78" s="9"/>
      <c r="I78" s="10"/>
      <c r="J78" s="10"/>
    </row>
    <row r="79" spans="1:10" x14ac:dyDescent="0.25">
      <c r="C79" s="9"/>
      <c r="D79" s="9"/>
      <c r="E79" s="9"/>
      <c r="F79" s="9"/>
      <c r="G79" s="9"/>
      <c r="H79" s="9"/>
      <c r="I79" s="10"/>
      <c r="J79" s="10"/>
    </row>
    <row r="80" spans="1:10" x14ac:dyDescent="0.25">
      <c r="C80" s="9"/>
      <c r="D80" s="9"/>
      <c r="E80" s="9"/>
      <c r="F80" s="9"/>
      <c r="G80" s="9"/>
      <c r="H80" s="9"/>
      <c r="I80" s="10"/>
      <c r="J80" s="10"/>
    </row>
  </sheetData>
  <mergeCells count="19">
    <mergeCell ref="C7:G7"/>
    <mergeCell ref="A36:B36"/>
    <mergeCell ref="A37:B37"/>
    <mergeCell ref="A42:B42"/>
    <mergeCell ref="A43:B43"/>
    <mergeCell ref="J51:J52"/>
    <mergeCell ref="A52:B52"/>
    <mergeCell ref="A56:B56"/>
    <mergeCell ref="A57:B57"/>
    <mergeCell ref="A44:B44"/>
    <mergeCell ref="A45:B45"/>
    <mergeCell ref="A50:B50"/>
    <mergeCell ref="A51:B51"/>
    <mergeCell ref="H51:H52"/>
    <mergeCell ref="A58:B58"/>
    <mergeCell ref="A59:B59"/>
    <mergeCell ref="A60:B60"/>
    <mergeCell ref="A63:B63"/>
    <mergeCell ref="I51:I52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2:J80"/>
  <sheetViews>
    <sheetView workbookViewId="0">
      <selection activeCell="H5" sqref="H5"/>
    </sheetView>
  </sheetViews>
  <sheetFormatPr defaultRowHeight="15" x14ac:dyDescent="0.25"/>
  <cols>
    <col min="1" max="1" width="28.42578125" bestFit="1" customWidth="1"/>
    <col min="2" max="2" width="59.5703125" bestFit="1" customWidth="1"/>
    <col min="3" max="3" width="12.7109375" bestFit="1" customWidth="1"/>
    <col min="4" max="4" width="24" bestFit="1" customWidth="1"/>
    <col min="5" max="5" width="13.85546875" bestFit="1" customWidth="1"/>
    <col min="6" max="6" width="8.5703125" bestFit="1" customWidth="1"/>
    <col min="7" max="7" width="47.7109375" bestFit="1" customWidth="1"/>
    <col min="8" max="9" width="16.7109375" bestFit="1" customWidth="1"/>
    <col min="10" max="10" width="24.42578125" bestFit="1" customWidth="1"/>
  </cols>
  <sheetData>
    <row r="2" spans="1:10" ht="18.75" x14ac:dyDescent="0.3">
      <c r="A2" s="3" t="s">
        <v>0</v>
      </c>
      <c r="B2" s="4" t="s">
        <v>331</v>
      </c>
    </row>
    <row r="3" spans="1:10" x14ac:dyDescent="0.25">
      <c r="A3" s="3" t="s">
        <v>2</v>
      </c>
      <c r="B3" s="1" t="s">
        <v>3</v>
      </c>
    </row>
    <row r="4" spans="1:10" x14ac:dyDescent="0.25">
      <c r="A4" s="3" t="s">
        <v>4</v>
      </c>
      <c r="B4" s="20">
        <v>9781</v>
      </c>
    </row>
    <row r="7" spans="1:10" x14ac:dyDescent="0.25">
      <c r="C7" s="22" t="s">
        <v>5</v>
      </c>
      <c r="D7" s="21"/>
      <c r="E7" s="21"/>
      <c r="F7" s="21"/>
      <c r="G7" s="21"/>
    </row>
    <row r="8" spans="1:10" x14ac:dyDescent="0.25">
      <c r="A8" s="3" t="s">
        <v>6</v>
      </c>
      <c r="B8" s="3" t="s">
        <v>7</v>
      </c>
      <c r="C8" s="15" t="s">
        <v>8</v>
      </c>
      <c r="D8" s="15" t="s">
        <v>9</v>
      </c>
      <c r="E8" s="15" t="s">
        <v>10</v>
      </c>
      <c r="F8" s="15" t="s">
        <v>11</v>
      </c>
      <c r="G8" s="15" t="s">
        <v>12</v>
      </c>
      <c r="H8" s="15" t="s">
        <v>13</v>
      </c>
      <c r="I8" s="15" t="s">
        <v>14</v>
      </c>
      <c r="J8" s="15" t="s">
        <v>15</v>
      </c>
    </row>
    <row r="9" spans="1:10" x14ac:dyDescent="0.25">
      <c r="A9" s="1" t="s">
        <v>16</v>
      </c>
      <c r="B9" s="1" t="s">
        <v>17</v>
      </c>
      <c r="C9" s="11"/>
      <c r="D9" s="11"/>
      <c r="E9" s="11">
        <v>654</v>
      </c>
      <c r="F9" s="11"/>
      <c r="G9" s="11">
        <f t="shared" ref="G9:G48" si="0">SUM(C9:F9)</f>
        <v>654</v>
      </c>
      <c r="H9" s="17">
        <f t="shared" ref="H9:H48" si="1">ROUND(G9/9781,2)</f>
        <v>7.0000000000000007E-2</v>
      </c>
      <c r="I9" s="16">
        <f t="shared" ref="I9:I48" si="2">ROUND(G9/$G$49,3)</f>
        <v>0</v>
      </c>
      <c r="J9" s="16">
        <f>ROUND(G9/332-1,2)</f>
        <v>0.97</v>
      </c>
    </row>
    <row r="10" spans="1:10" x14ac:dyDescent="0.25">
      <c r="A10" s="1" t="s">
        <v>16</v>
      </c>
      <c r="B10" s="1" t="s">
        <v>18</v>
      </c>
      <c r="C10" s="11">
        <v>4020</v>
      </c>
      <c r="D10" s="11"/>
      <c r="E10" s="11">
        <v>14970</v>
      </c>
      <c r="F10" s="11">
        <v>21860</v>
      </c>
      <c r="G10" s="11">
        <f t="shared" si="0"/>
        <v>40850</v>
      </c>
      <c r="H10" s="17">
        <f t="shared" si="1"/>
        <v>4.18</v>
      </c>
      <c r="I10" s="16">
        <f t="shared" si="2"/>
        <v>8.0000000000000002E-3</v>
      </c>
      <c r="J10" s="16">
        <f>ROUND(G10/44800-1,2)</f>
        <v>-0.09</v>
      </c>
    </row>
    <row r="11" spans="1:10" x14ac:dyDescent="0.25">
      <c r="A11" s="1" t="s">
        <v>16</v>
      </c>
      <c r="B11" s="1" t="s">
        <v>19</v>
      </c>
      <c r="C11" s="11">
        <v>355830</v>
      </c>
      <c r="D11" s="11"/>
      <c r="E11" s="11">
        <v>70842</v>
      </c>
      <c r="F11" s="11">
        <v>480</v>
      </c>
      <c r="G11" s="11">
        <f t="shared" si="0"/>
        <v>427152</v>
      </c>
      <c r="H11" s="17">
        <f t="shared" si="1"/>
        <v>43.67</v>
      </c>
      <c r="I11" s="16">
        <f t="shared" si="2"/>
        <v>8.4000000000000005E-2</v>
      </c>
      <c r="J11" s="16">
        <f>ROUND(G11/408145-1,2)</f>
        <v>0.05</v>
      </c>
    </row>
    <row r="12" spans="1:10" x14ac:dyDescent="0.25">
      <c r="A12" s="1" t="s">
        <v>16</v>
      </c>
      <c r="B12" s="1" t="s">
        <v>20</v>
      </c>
      <c r="C12" s="11">
        <v>398810</v>
      </c>
      <c r="D12" s="11"/>
      <c r="E12" s="11">
        <v>17613</v>
      </c>
      <c r="F12" s="11">
        <v>220</v>
      </c>
      <c r="G12" s="11">
        <f t="shared" si="0"/>
        <v>416643</v>
      </c>
      <c r="H12" s="17">
        <f t="shared" si="1"/>
        <v>42.6</v>
      </c>
      <c r="I12" s="16">
        <f t="shared" si="2"/>
        <v>8.2000000000000003E-2</v>
      </c>
      <c r="J12" s="16">
        <f>ROUND(G12/427037-1,2)</f>
        <v>-0.02</v>
      </c>
    </row>
    <row r="13" spans="1:10" x14ac:dyDescent="0.25">
      <c r="A13" s="1" t="s">
        <v>16</v>
      </c>
      <c r="B13" s="1" t="s">
        <v>21</v>
      </c>
      <c r="C13" s="11"/>
      <c r="D13" s="11"/>
      <c r="E13" s="11">
        <v>1225</v>
      </c>
      <c r="F13" s="11"/>
      <c r="G13" s="11">
        <f t="shared" si="0"/>
        <v>1225</v>
      </c>
      <c r="H13" s="17">
        <f t="shared" si="1"/>
        <v>0.13</v>
      </c>
      <c r="I13" s="16">
        <f t="shared" si="2"/>
        <v>0</v>
      </c>
      <c r="J13" s="16">
        <f>ROUND(G13/1028-1,2)</f>
        <v>0.19</v>
      </c>
    </row>
    <row r="14" spans="1:10" x14ac:dyDescent="0.25">
      <c r="A14" s="1" t="s">
        <v>16</v>
      </c>
      <c r="B14" s="1" t="s">
        <v>22</v>
      </c>
      <c r="C14" s="11"/>
      <c r="D14" s="11"/>
      <c r="E14" s="11">
        <v>4093</v>
      </c>
      <c r="F14" s="11"/>
      <c r="G14" s="11">
        <f t="shared" si="0"/>
        <v>4093</v>
      </c>
      <c r="H14" s="17">
        <f t="shared" si="1"/>
        <v>0.42</v>
      </c>
      <c r="I14" s="16">
        <f t="shared" si="2"/>
        <v>1E-3</v>
      </c>
      <c r="J14" s="16">
        <f>ROUND(G14/9286-1,2)</f>
        <v>-0.56000000000000005</v>
      </c>
    </row>
    <row r="15" spans="1:10" x14ac:dyDescent="0.25">
      <c r="A15" s="1" t="s">
        <v>16</v>
      </c>
      <c r="B15" s="1" t="s">
        <v>23</v>
      </c>
      <c r="C15" s="11"/>
      <c r="D15" s="11"/>
      <c r="E15" s="11">
        <v>335375</v>
      </c>
      <c r="F15" s="11"/>
      <c r="G15" s="11">
        <f t="shared" si="0"/>
        <v>335375</v>
      </c>
      <c r="H15" s="17">
        <f t="shared" si="1"/>
        <v>34.29</v>
      </c>
      <c r="I15" s="16">
        <f t="shared" si="2"/>
        <v>6.6000000000000003E-2</v>
      </c>
      <c r="J15" s="16">
        <f>ROUND(G15/305835-1,2)</f>
        <v>0.1</v>
      </c>
    </row>
    <row r="16" spans="1:10" x14ac:dyDescent="0.25">
      <c r="A16" s="1" t="s">
        <v>16</v>
      </c>
      <c r="B16" s="1" t="s">
        <v>24</v>
      </c>
      <c r="C16" s="11">
        <v>514060</v>
      </c>
      <c r="D16" s="11"/>
      <c r="E16" s="11">
        <v>161210</v>
      </c>
      <c r="F16" s="11">
        <v>700</v>
      </c>
      <c r="G16" s="11">
        <f t="shared" si="0"/>
        <v>675970</v>
      </c>
      <c r="H16" s="17">
        <f t="shared" si="1"/>
        <v>69.11</v>
      </c>
      <c r="I16" s="16">
        <f t="shared" si="2"/>
        <v>0.13300000000000001</v>
      </c>
      <c r="J16" s="16">
        <f>ROUND(G16/662980-1,2)</f>
        <v>0.02</v>
      </c>
    </row>
    <row r="17" spans="1:10" x14ac:dyDescent="0.25">
      <c r="A17" s="1" t="s">
        <v>16</v>
      </c>
      <c r="B17" s="1" t="s">
        <v>25</v>
      </c>
      <c r="C17" s="11"/>
      <c r="D17" s="11"/>
      <c r="E17" s="11">
        <v>13483</v>
      </c>
      <c r="F17" s="11"/>
      <c r="G17" s="11">
        <f t="shared" si="0"/>
        <v>13483</v>
      </c>
      <c r="H17" s="17">
        <f t="shared" si="1"/>
        <v>1.38</v>
      </c>
      <c r="I17" s="16">
        <f t="shared" si="2"/>
        <v>3.0000000000000001E-3</v>
      </c>
      <c r="J17" s="16">
        <f>ROUND(G17/19683-1,2)</f>
        <v>-0.31</v>
      </c>
    </row>
    <row r="18" spans="1:10" x14ac:dyDescent="0.25">
      <c r="A18" s="1" t="s">
        <v>16</v>
      </c>
      <c r="B18" s="1" t="s">
        <v>26</v>
      </c>
      <c r="C18" s="11">
        <v>706620</v>
      </c>
      <c r="D18" s="11"/>
      <c r="E18" s="11"/>
      <c r="F18" s="11">
        <v>400</v>
      </c>
      <c r="G18" s="11">
        <f t="shared" si="0"/>
        <v>707020</v>
      </c>
      <c r="H18" s="17">
        <f t="shared" si="1"/>
        <v>72.290000000000006</v>
      </c>
      <c r="I18" s="16">
        <f t="shared" si="2"/>
        <v>0.13900000000000001</v>
      </c>
      <c r="J18" s="16">
        <f>ROUND(G18/687710-1,2)</f>
        <v>0.03</v>
      </c>
    </row>
    <row r="19" spans="1:10" x14ac:dyDescent="0.25">
      <c r="A19" s="1" t="s">
        <v>16</v>
      </c>
      <c r="B19" s="1" t="s">
        <v>27</v>
      </c>
      <c r="C19" s="11"/>
      <c r="D19" s="11"/>
      <c r="E19" s="11">
        <v>2854</v>
      </c>
      <c r="F19" s="11"/>
      <c r="G19" s="11">
        <f t="shared" si="0"/>
        <v>2854</v>
      </c>
      <c r="H19" s="17">
        <f t="shared" si="1"/>
        <v>0.28999999999999998</v>
      </c>
      <c r="I19" s="16">
        <f t="shared" si="2"/>
        <v>1E-3</v>
      </c>
      <c r="J19" s="16">
        <f>ROUND(G19/2649-1,2)</f>
        <v>0.08</v>
      </c>
    </row>
    <row r="20" spans="1:10" x14ac:dyDescent="0.25">
      <c r="A20" s="1" t="s">
        <v>16</v>
      </c>
      <c r="B20" s="1" t="s">
        <v>28</v>
      </c>
      <c r="C20" s="11"/>
      <c r="D20" s="11"/>
      <c r="E20" s="11">
        <v>1947</v>
      </c>
      <c r="F20" s="11"/>
      <c r="G20" s="11">
        <f t="shared" si="0"/>
        <v>1947</v>
      </c>
      <c r="H20" s="17">
        <f t="shared" si="1"/>
        <v>0.2</v>
      </c>
      <c r="I20" s="16">
        <f t="shared" si="2"/>
        <v>0</v>
      </c>
      <c r="J20" s="16">
        <f>ROUND(G20/1093-1,2)</f>
        <v>0.78</v>
      </c>
    </row>
    <row r="21" spans="1:10" x14ac:dyDescent="0.25">
      <c r="A21" s="1" t="s">
        <v>16</v>
      </c>
      <c r="B21" s="1" t="s">
        <v>29</v>
      </c>
      <c r="C21" s="11"/>
      <c r="D21" s="11"/>
      <c r="E21" s="11">
        <v>544</v>
      </c>
      <c r="F21" s="11"/>
      <c r="G21" s="11">
        <f t="shared" si="0"/>
        <v>544</v>
      </c>
      <c r="H21" s="17">
        <f t="shared" si="1"/>
        <v>0.06</v>
      </c>
      <c r="I21" s="16">
        <f t="shared" si="2"/>
        <v>0</v>
      </c>
      <c r="J21" s="16">
        <f>ROUND(G21/459-1,2)</f>
        <v>0.19</v>
      </c>
    </row>
    <row r="22" spans="1:10" x14ac:dyDescent="0.25">
      <c r="A22" s="1" t="s">
        <v>16</v>
      </c>
      <c r="B22" s="1" t="s">
        <v>30</v>
      </c>
      <c r="C22" s="11"/>
      <c r="D22" s="11"/>
      <c r="E22" s="11">
        <v>15002</v>
      </c>
      <c r="F22" s="11"/>
      <c r="G22" s="11">
        <f t="shared" si="0"/>
        <v>15002</v>
      </c>
      <c r="H22" s="17">
        <f t="shared" si="1"/>
        <v>1.53</v>
      </c>
      <c r="I22" s="16">
        <f t="shared" si="2"/>
        <v>3.0000000000000001E-3</v>
      </c>
      <c r="J22" s="16">
        <f>ROUND(G22/15640-1,2)</f>
        <v>-0.04</v>
      </c>
    </row>
    <row r="23" spans="1:10" x14ac:dyDescent="0.25">
      <c r="A23" s="1" t="s">
        <v>16</v>
      </c>
      <c r="B23" s="1" t="s">
        <v>31</v>
      </c>
      <c r="C23" s="11"/>
      <c r="D23" s="11"/>
      <c r="E23" s="11">
        <v>3746</v>
      </c>
      <c r="F23" s="11"/>
      <c r="G23" s="11">
        <f t="shared" si="0"/>
        <v>3746</v>
      </c>
      <c r="H23" s="17">
        <f t="shared" si="1"/>
        <v>0.38</v>
      </c>
      <c r="I23" s="16">
        <f t="shared" si="2"/>
        <v>1E-3</v>
      </c>
      <c r="J23" s="16">
        <f>ROUND(G23/4162-1,2)</f>
        <v>-0.1</v>
      </c>
    </row>
    <row r="24" spans="1:10" x14ac:dyDescent="0.25">
      <c r="A24" s="1" t="s">
        <v>16</v>
      </c>
      <c r="B24" s="1" t="s">
        <v>32</v>
      </c>
      <c r="C24" s="11"/>
      <c r="D24" s="11"/>
      <c r="E24" s="11">
        <v>1842</v>
      </c>
      <c r="F24" s="11"/>
      <c r="G24" s="11">
        <f t="shared" si="0"/>
        <v>1842</v>
      </c>
      <c r="H24" s="17">
        <f t="shared" si="1"/>
        <v>0.19</v>
      </c>
      <c r="I24" s="16">
        <f t="shared" si="2"/>
        <v>0</v>
      </c>
      <c r="J24" s="16">
        <f>ROUND(G24/1472-1,2)</f>
        <v>0.25</v>
      </c>
    </row>
    <row r="25" spans="1:10" x14ac:dyDescent="0.25">
      <c r="A25" s="1" t="s">
        <v>16</v>
      </c>
      <c r="B25" s="1" t="s">
        <v>33</v>
      </c>
      <c r="C25" s="11"/>
      <c r="D25" s="11"/>
      <c r="E25" s="11">
        <v>8913</v>
      </c>
      <c r="F25" s="11"/>
      <c r="G25" s="11">
        <f t="shared" si="0"/>
        <v>8913</v>
      </c>
      <c r="H25" s="17">
        <f t="shared" si="1"/>
        <v>0.91</v>
      </c>
      <c r="I25" s="16">
        <f t="shared" si="2"/>
        <v>2E-3</v>
      </c>
      <c r="J25" s="16">
        <f>ROUND(G25/4891-1,2)</f>
        <v>0.82</v>
      </c>
    </row>
    <row r="26" spans="1:10" x14ac:dyDescent="0.25">
      <c r="A26" s="1" t="s">
        <v>16</v>
      </c>
      <c r="B26" s="1" t="s">
        <v>34</v>
      </c>
      <c r="C26" s="11"/>
      <c r="D26" s="11">
        <v>1038</v>
      </c>
      <c r="E26" s="11">
        <v>479</v>
      </c>
      <c r="F26" s="11"/>
      <c r="G26" s="11">
        <f t="shared" si="0"/>
        <v>1517</v>
      </c>
      <c r="H26" s="17">
        <f t="shared" si="1"/>
        <v>0.16</v>
      </c>
      <c r="I26" s="16">
        <f t="shared" si="2"/>
        <v>0</v>
      </c>
      <c r="J26" s="16">
        <f>ROUND(G26/2188-1,2)</f>
        <v>-0.31</v>
      </c>
    </row>
    <row r="27" spans="1:10" x14ac:dyDescent="0.25">
      <c r="A27" s="1" t="s">
        <v>16</v>
      </c>
      <c r="B27" s="1" t="s">
        <v>36</v>
      </c>
      <c r="C27" s="11"/>
      <c r="D27" s="11"/>
      <c r="E27" s="11">
        <v>631</v>
      </c>
      <c r="F27" s="11"/>
      <c r="G27" s="11">
        <f t="shared" si="0"/>
        <v>631</v>
      </c>
      <c r="H27" s="17">
        <f t="shared" si="1"/>
        <v>0.06</v>
      </c>
      <c r="I27" s="16">
        <f t="shared" si="2"/>
        <v>0</v>
      </c>
      <c r="J27" s="16">
        <f>ROUND(G27/2558-1,2)</f>
        <v>-0.75</v>
      </c>
    </row>
    <row r="28" spans="1:10" x14ac:dyDescent="0.25">
      <c r="A28" s="1" t="s">
        <v>16</v>
      </c>
      <c r="B28" s="1" t="s">
        <v>35</v>
      </c>
      <c r="C28" s="11"/>
      <c r="D28" s="11"/>
      <c r="E28" s="11">
        <v>8585</v>
      </c>
      <c r="F28" s="11"/>
      <c r="G28" s="11">
        <f t="shared" si="0"/>
        <v>8585</v>
      </c>
      <c r="H28" s="17">
        <f t="shared" si="1"/>
        <v>0.88</v>
      </c>
      <c r="I28" s="16">
        <f t="shared" si="2"/>
        <v>2E-3</v>
      </c>
      <c r="J28" s="16">
        <f>ROUND(G28/6312-1,2)</f>
        <v>0.36</v>
      </c>
    </row>
    <row r="29" spans="1:10" x14ac:dyDescent="0.25">
      <c r="A29" s="1" t="s">
        <v>16</v>
      </c>
      <c r="B29" s="1" t="s">
        <v>37</v>
      </c>
      <c r="C29" s="11"/>
      <c r="D29" s="11"/>
      <c r="E29" s="11">
        <v>8278</v>
      </c>
      <c r="F29" s="11"/>
      <c r="G29" s="11">
        <f t="shared" si="0"/>
        <v>8278</v>
      </c>
      <c r="H29" s="17">
        <f t="shared" si="1"/>
        <v>0.85</v>
      </c>
      <c r="I29" s="16">
        <f t="shared" si="2"/>
        <v>2E-3</v>
      </c>
      <c r="J29" s="16">
        <f>ROUND(G29/11219-1,2)</f>
        <v>-0.26</v>
      </c>
    </row>
    <row r="30" spans="1:10" x14ac:dyDescent="0.25">
      <c r="A30" s="1" t="s">
        <v>16</v>
      </c>
      <c r="B30" s="1" t="s">
        <v>38</v>
      </c>
      <c r="C30" s="11"/>
      <c r="D30" s="11"/>
      <c r="E30" s="11">
        <v>16269</v>
      </c>
      <c r="F30" s="11"/>
      <c r="G30" s="11">
        <f t="shared" si="0"/>
        <v>16269</v>
      </c>
      <c r="H30" s="17">
        <f t="shared" si="1"/>
        <v>1.66</v>
      </c>
      <c r="I30" s="16">
        <f t="shared" si="2"/>
        <v>3.0000000000000001E-3</v>
      </c>
      <c r="J30" s="16">
        <f>ROUND(G30/24248-1,2)</f>
        <v>-0.33</v>
      </c>
    </row>
    <row r="31" spans="1:10" x14ac:dyDescent="0.25">
      <c r="A31" s="1" t="s">
        <v>16</v>
      </c>
      <c r="B31" s="1" t="s">
        <v>39</v>
      </c>
      <c r="C31" s="11"/>
      <c r="D31" s="11"/>
      <c r="E31" s="11">
        <v>36293</v>
      </c>
      <c r="F31" s="11"/>
      <c r="G31" s="11">
        <f t="shared" si="0"/>
        <v>36293</v>
      </c>
      <c r="H31" s="17">
        <f t="shared" si="1"/>
        <v>3.71</v>
      </c>
      <c r="I31" s="16">
        <f t="shared" si="2"/>
        <v>7.0000000000000001E-3</v>
      </c>
      <c r="J31" s="16">
        <f>ROUND(G31/30749-1,2)</f>
        <v>0.18</v>
      </c>
    </row>
    <row r="32" spans="1:10" x14ac:dyDescent="0.25">
      <c r="A32" s="1" t="s">
        <v>16</v>
      </c>
      <c r="B32" s="1" t="s">
        <v>40</v>
      </c>
      <c r="C32" s="11"/>
      <c r="D32" s="11"/>
      <c r="E32" s="11">
        <v>309159</v>
      </c>
      <c r="F32" s="11"/>
      <c r="G32" s="11">
        <f t="shared" si="0"/>
        <v>309159</v>
      </c>
      <c r="H32" s="17">
        <f t="shared" si="1"/>
        <v>31.61</v>
      </c>
      <c r="I32" s="16">
        <f t="shared" si="2"/>
        <v>6.0999999999999999E-2</v>
      </c>
      <c r="J32" s="16">
        <f>ROUND(G32/366277-1,2)</f>
        <v>-0.16</v>
      </c>
    </row>
    <row r="33" spans="1:10" x14ac:dyDescent="0.25">
      <c r="A33" s="1" t="s">
        <v>16</v>
      </c>
      <c r="B33" s="1" t="s">
        <v>41</v>
      </c>
      <c r="C33" s="11"/>
      <c r="D33" s="11"/>
      <c r="E33" s="11">
        <v>29484</v>
      </c>
      <c r="F33" s="11"/>
      <c r="G33" s="11">
        <f t="shared" si="0"/>
        <v>29484</v>
      </c>
      <c r="H33" s="17">
        <f t="shared" si="1"/>
        <v>3.01</v>
      </c>
      <c r="I33" s="16">
        <f t="shared" si="2"/>
        <v>6.0000000000000001E-3</v>
      </c>
      <c r="J33" s="16">
        <f>ROUND(G33/29354-1,2)</f>
        <v>0</v>
      </c>
    </row>
    <row r="34" spans="1:10" x14ac:dyDescent="0.25">
      <c r="A34" s="1" t="s">
        <v>16</v>
      </c>
      <c r="B34" s="1" t="s">
        <v>42</v>
      </c>
      <c r="C34" s="11"/>
      <c r="D34" s="11"/>
      <c r="E34" s="11">
        <v>123200</v>
      </c>
      <c r="F34" s="11"/>
      <c r="G34" s="11">
        <f t="shared" si="0"/>
        <v>123200</v>
      </c>
      <c r="H34" s="17">
        <f t="shared" si="1"/>
        <v>12.6</v>
      </c>
      <c r="I34" s="16">
        <f t="shared" si="2"/>
        <v>2.4E-2</v>
      </c>
      <c r="J34" s="16">
        <f>ROUND(G34/118850-1,2)</f>
        <v>0.04</v>
      </c>
    </row>
    <row r="35" spans="1:10" x14ac:dyDescent="0.25">
      <c r="A35" s="1" t="s">
        <v>16</v>
      </c>
      <c r="B35" s="1" t="s">
        <v>43</v>
      </c>
      <c r="C35" s="11"/>
      <c r="D35" s="11"/>
      <c r="E35" s="11">
        <v>189</v>
      </c>
      <c r="F35" s="11"/>
      <c r="G35" s="11">
        <f t="shared" si="0"/>
        <v>189</v>
      </c>
      <c r="H35" s="17">
        <f t="shared" si="1"/>
        <v>0.02</v>
      </c>
      <c r="I35" s="16">
        <f t="shared" si="2"/>
        <v>0</v>
      </c>
      <c r="J35" s="16"/>
    </row>
    <row r="36" spans="1:10" x14ac:dyDescent="0.25">
      <c r="A36" s="1" t="s">
        <v>16</v>
      </c>
      <c r="B36" s="1" t="s">
        <v>44</v>
      </c>
      <c r="C36" s="11"/>
      <c r="D36" s="11"/>
      <c r="E36" s="11">
        <v>235801</v>
      </c>
      <c r="F36" s="11"/>
      <c r="G36" s="11">
        <f t="shared" si="0"/>
        <v>235801</v>
      </c>
      <c r="H36" s="17">
        <f t="shared" si="1"/>
        <v>24.11</v>
      </c>
      <c r="I36" s="16">
        <f t="shared" si="2"/>
        <v>4.5999999999999999E-2</v>
      </c>
      <c r="J36" s="16">
        <f>ROUND(G36/221631-1,2)</f>
        <v>0.06</v>
      </c>
    </row>
    <row r="37" spans="1:10" x14ac:dyDescent="0.25">
      <c r="A37" s="1" t="s">
        <v>16</v>
      </c>
      <c r="B37" s="1" t="s">
        <v>97</v>
      </c>
      <c r="C37" s="11"/>
      <c r="D37" s="11"/>
      <c r="E37" s="11"/>
      <c r="F37" s="11"/>
      <c r="G37" s="11">
        <f t="shared" si="0"/>
        <v>0</v>
      </c>
      <c r="H37" s="17">
        <f t="shared" si="1"/>
        <v>0</v>
      </c>
      <c r="I37" s="16">
        <f t="shared" si="2"/>
        <v>0</v>
      </c>
      <c r="J37" s="16"/>
    </row>
    <row r="38" spans="1:10" x14ac:dyDescent="0.25">
      <c r="A38" s="1" t="s">
        <v>16</v>
      </c>
      <c r="B38" s="1" t="s">
        <v>121</v>
      </c>
      <c r="C38" s="11"/>
      <c r="D38" s="11"/>
      <c r="E38" s="11"/>
      <c r="F38" s="11"/>
      <c r="G38" s="11">
        <f t="shared" si="0"/>
        <v>0</v>
      </c>
      <c r="H38" s="17">
        <f t="shared" si="1"/>
        <v>0</v>
      </c>
      <c r="I38" s="16">
        <f t="shared" si="2"/>
        <v>0</v>
      </c>
      <c r="J38" s="16"/>
    </row>
    <row r="39" spans="1:10" x14ac:dyDescent="0.25">
      <c r="A39" s="1" t="s">
        <v>16</v>
      </c>
      <c r="B39" s="1" t="s">
        <v>96</v>
      </c>
      <c r="C39" s="11"/>
      <c r="D39" s="11"/>
      <c r="E39" s="11"/>
      <c r="F39" s="11"/>
      <c r="G39" s="11">
        <f t="shared" si="0"/>
        <v>0</v>
      </c>
      <c r="H39" s="17">
        <f t="shared" si="1"/>
        <v>0</v>
      </c>
      <c r="I39" s="16">
        <f t="shared" si="2"/>
        <v>0</v>
      </c>
      <c r="J39" s="16">
        <f>ROUND(G39/192-1,2)</f>
        <v>-1</v>
      </c>
    </row>
    <row r="40" spans="1:10" x14ac:dyDescent="0.25">
      <c r="A40" s="1" t="s">
        <v>16</v>
      </c>
      <c r="B40" s="1" t="s">
        <v>130</v>
      </c>
      <c r="C40" s="11"/>
      <c r="D40" s="11"/>
      <c r="E40" s="11"/>
      <c r="F40" s="11"/>
      <c r="G40" s="11">
        <f t="shared" si="0"/>
        <v>0</v>
      </c>
      <c r="H40" s="17">
        <f t="shared" si="1"/>
        <v>0</v>
      </c>
      <c r="I40" s="16">
        <f t="shared" si="2"/>
        <v>0</v>
      </c>
      <c r="J40" s="16"/>
    </row>
    <row r="41" spans="1:10" x14ac:dyDescent="0.25">
      <c r="A41" s="1" t="s">
        <v>16</v>
      </c>
      <c r="B41" s="1" t="s">
        <v>117</v>
      </c>
      <c r="C41" s="11"/>
      <c r="D41" s="11"/>
      <c r="E41" s="11"/>
      <c r="F41" s="11"/>
      <c r="G41" s="11">
        <f t="shared" si="0"/>
        <v>0</v>
      </c>
      <c r="H41" s="17">
        <f t="shared" si="1"/>
        <v>0</v>
      </c>
      <c r="I41" s="16">
        <f t="shared" si="2"/>
        <v>0</v>
      </c>
      <c r="J41" s="16"/>
    </row>
    <row r="42" spans="1:10" x14ac:dyDescent="0.25">
      <c r="A42" s="1" t="s">
        <v>45</v>
      </c>
      <c r="B42" s="1" t="s">
        <v>46</v>
      </c>
      <c r="C42" s="11">
        <v>1253260</v>
      </c>
      <c r="D42" s="11"/>
      <c r="E42" s="11"/>
      <c r="F42" s="11">
        <v>2440</v>
      </c>
      <c r="G42" s="11">
        <f t="shared" si="0"/>
        <v>1255700</v>
      </c>
      <c r="H42" s="17">
        <f t="shared" si="1"/>
        <v>128.38</v>
      </c>
      <c r="I42" s="16">
        <f t="shared" si="2"/>
        <v>0.246</v>
      </c>
      <c r="J42" s="16">
        <f>ROUND(G42/1313730-1,2)</f>
        <v>-0.04</v>
      </c>
    </row>
    <row r="43" spans="1:10" x14ac:dyDescent="0.25">
      <c r="A43" s="1" t="s">
        <v>45</v>
      </c>
      <c r="B43" s="1" t="s">
        <v>48</v>
      </c>
      <c r="C43" s="11"/>
      <c r="D43" s="11"/>
      <c r="E43" s="11"/>
      <c r="F43" s="11">
        <v>175510</v>
      </c>
      <c r="G43" s="11">
        <f t="shared" si="0"/>
        <v>175510</v>
      </c>
      <c r="H43" s="17">
        <f t="shared" si="1"/>
        <v>17.940000000000001</v>
      </c>
      <c r="I43" s="16">
        <f t="shared" si="2"/>
        <v>3.4000000000000002E-2</v>
      </c>
      <c r="J43" s="16">
        <f>ROUND(G43/141815-1,2)</f>
        <v>0.24</v>
      </c>
    </row>
    <row r="44" spans="1:10" x14ac:dyDescent="0.25">
      <c r="A44" s="1" t="s">
        <v>45</v>
      </c>
      <c r="B44" s="1" t="s">
        <v>47</v>
      </c>
      <c r="C44" s="11"/>
      <c r="D44" s="11"/>
      <c r="E44" s="11">
        <v>240984</v>
      </c>
      <c r="F44" s="11"/>
      <c r="G44" s="11">
        <f t="shared" si="0"/>
        <v>240984</v>
      </c>
      <c r="H44" s="17">
        <f t="shared" si="1"/>
        <v>24.64</v>
      </c>
      <c r="I44" s="16">
        <f t="shared" si="2"/>
        <v>4.7E-2</v>
      </c>
      <c r="J44" s="16">
        <f>ROUND(G44/262212-1,2)</f>
        <v>-0.08</v>
      </c>
    </row>
    <row r="45" spans="1:10" x14ac:dyDescent="0.25">
      <c r="A45" s="1" t="s">
        <v>49</v>
      </c>
      <c r="B45" s="1" t="s">
        <v>52</v>
      </c>
      <c r="C45" s="11"/>
      <c r="D45" s="11"/>
      <c r="E45" s="11"/>
      <c r="F45" s="11"/>
      <c r="G45" s="11">
        <f t="shared" si="0"/>
        <v>0</v>
      </c>
      <c r="H45" s="17">
        <f t="shared" si="1"/>
        <v>0</v>
      </c>
      <c r="I45" s="16">
        <f t="shared" si="2"/>
        <v>0</v>
      </c>
      <c r="J45" s="16"/>
    </row>
    <row r="46" spans="1:10" x14ac:dyDescent="0.25">
      <c r="A46" s="1" t="s">
        <v>49</v>
      </c>
      <c r="B46" s="1" t="s">
        <v>88</v>
      </c>
      <c r="C46" s="11"/>
      <c r="D46" s="11"/>
      <c r="E46" s="11"/>
      <c r="F46" s="11"/>
      <c r="G46" s="11">
        <f t="shared" si="0"/>
        <v>0</v>
      </c>
      <c r="H46" s="17">
        <f t="shared" si="1"/>
        <v>0</v>
      </c>
      <c r="I46" s="16">
        <f t="shared" si="2"/>
        <v>0</v>
      </c>
      <c r="J46" s="16"/>
    </row>
    <row r="47" spans="1:10" x14ac:dyDescent="0.25">
      <c r="A47" s="1" t="s">
        <v>49</v>
      </c>
      <c r="B47" s="1" t="s">
        <v>51</v>
      </c>
      <c r="C47" s="11"/>
      <c r="D47" s="11"/>
      <c r="E47" s="11"/>
      <c r="F47" s="11"/>
      <c r="G47" s="11">
        <f t="shared" si="0"/>
        <v>0</v>
      </c>
      <c r="H47" s="17">
        <f t="shared" si="1"/>
        <v>0</v>
      </c>
      <c r="I47" s="16">
        <f t="shared" si="2"/>
        <v>0</v>
      </c>
      <c r="J47" s="16"/>
    </row>
    <row r="48" spans="1:10" x14ac:dyDescent="0.25">
      <c r="A48" s="1" t="s">
        <v>49</v>
      </c>
      <c r="B48" s="1" t="s">
        <v>169</v>
      </c>
      <c r="C48" s="11"/>
      <c r="D48" s="11"/>
      <c r="E48" s="11"/>
      <c r="F48" s="11"/>
      <c r="G48" s="11">
        <f t="shared" si="0"/>
        <v>0</v>
      </c>
      <c r="H48" s="17">
        <f t="shared" si="1"/>
        <v>0</v>
      </c>
      <c r="I48" s="16">
        <f t="shared" si="2"/>
        <v>0</v>
      </c>
      <c r="J48" s="16"/>
    </row>
    <row r="49" spans="1:10" x14ac:dyDescent="0.25">
      <c r="A49" s="26" t="s">
        <v>12</v>
      </c>
      <c r="B49" s="26"/>
      <c r="C49" s="12">
        <f t="shared" ref="C49:H49" si="3">SUM(C8:C48)</f>
        <v>3232600</v>
      </c>
      <c r="D49" s="12">
        <f t="shared" si="3"/>
        <v>1038</v>
      </c>
      <c r="E49" s="12">
        <f t="shared" si="3"/>
        <v>1663665</v>
      </c>
      <c r="F49" s="12">
        <f t="shared" si="3"/>
        <v>201610</v>
      </c>
      <c r="G49" s="12">
        <f t="shared" si="3"/>
        <v>5098913</v>
      </c>
      <c r="H49" s="15">
        <f t="shared" si="3"/>
        <v>521.33000000000015</v>
      </c>
      <c r="I49" s="18"/>
      <c r="J49" s="18"/>
    </row>
    <row r="50" spans="1:10" x14ac:dyDescent="0.25">
      <c r="A50" s="26" t="s">
        <v>14</v>
      </c>
      <c r="B50" s="26"/>
      <c r="C50" s="13">
        <f>ROUND(C49/G49,2)</f>
        <v>0.63</v>
      </c>
      <c r="D50" s="13">
        <f>ROUND(D49/G49,2)</f>
        <v>0</v>
      </c>
      <c r="E50" s="13">
        <f>ROUND(E49/G49,2)</f>
        <v>0.33</v>
      </c>
      <c r="F50" s="13">
        <f>ROUND(F49/G49,2)</f>
        <v>0.04</v>
      </c>
      <c r="G50" s="14"/>
      <c r="H50" s="14"/>
      <c r="I50" s="18"/>
      <c r="J50" s="18"/>
    </row>
    <row r="51" spans="1:10" x14ac:dyDescent="0.25">
      <c r="A51" s="2" t="s">
        <v>53</v>
      </c>
      <c r="B51" s="2"/>
      <c r="C51" s="14"/>
      <c r="D51" s="14"/>
      <c r="E51" s="14"/>
      <c r="F51" s="14"/>
      <c r="G51" s="14"/>
      <c r="H51" s="14"/>
      <c r="I51" s="18"/>
      <c r="J51" s="18"/>
    </row>
    <row r="52" spans="1:10" x14ac:dyDescent="0.25">
      <c r="C52" s="9"/>
      <c r="D52" s="9"/>
      <c r="E52" s="9"/>
      <c r="F52" s="9"/>
      <c r="G52" s="9"/>
      <c r="H52" s="9"/>
      <c r="I52" s="10"/>
      <c r="J52" s="10"/>
    </row>
    <row r="53" spans="1:10" x14ac:dyDescent="0.25">
      <c r="C53" s="9"/>
      <c r="D53" s="9"/>
      <c r="E53" s="9"/>
      <c r="F53" s="9"/>
      <c r="G53" s="9"/>
      <c r="H53" s="9"/>
      <c r="I53" s="10"/>
      <c r="J53" s="10"/>
    </row>
    <row r="54" spans="1:10" x14ac:dyDescent="0.25">
      <c r="C54" s="9"/>
      <c r="D54" s="9"/>
      <c r="E54" s="9"/>
      <c r="F54" s="9"/>
      <c r="G54" s="9"/>
      <c r="H54" s="9"/>
      <c r="I54" s="10"/>
      <c r="J54" s="10"/>
    </row>
    <row r="55" spans="1:10" x14ac:dyDescent="0.25">
      <c r="A55" s="26" t="s">
        <v>54</v>
      </c>
      <c r="B55" s="26"/>
      <c r="C55" s="12" t="s">
        <v>8</v>
      </c>
      <c r="D55" s="12" t="s">
        <v>9</v>
      </c>
      <c r="E55" s="12" t="s">
        <v>10</v>
      </c>
      <c r="F55" s="12" t="s">
        <v>11</v>
      </c>
      <c r="G55" s="12" t="s">
        <v>12</v>
      </c>
      <c r="H55" s="15" t="s">
        <v>13</v>
      </c>
      <c r="I55" s="18"/>
      <c r="J55" s="18"/>
    </row>
    <row r="56" spans="1:10" x14ac:dyDescent="0.25">
      <c r="A56" s="21" t="s">
        <v>55</v>
      </c>
      <c r="B56" s="21"/>
      <c r="C56" s="11">
        <v>1979340</v>
      </c>
      <c r="D56" s="11">
        <v>1038</v>
      </c>
      <c r="E56" s="11">
        <v>1422681</v>
      </c>
      <c r="F56" s="11">
        <v>23660</v>
      </c>
      <c r="G56" s="11">
        <f>SUM(C56:F56)</f>
        <v>3426719</v>
      </c>
      <c r="H56" s="17">
        <f>ROUND(G56/9781,2)</f>
        <v>350.34</v>
      </c>
      <c r="I56" s="10"/>
      <c r="J56" s="10"/>
    </row>
    <row r="57" spans="1:10" x14ac:dyDescent="0.25">
      <c r="A57" s="21" t="s">
        <v>56</v>
      </c>
      <c r="B57" s="21"/>
      <c r="C57" s="11">
        <v>1253260</v>
      </c>
      <c r="D57" s="11">
        <v>0</v>
      </c>
      <c r="E57" s="11">
        <v>240984</v>
      </c>
      <c r="F57" s="11">
        <v>177950</v>
      </c>
      <c r="G57" s="11">
        <f>SUM(C57:F57)</f>
        <v>1672194</v>
      </c>
      <c r="H57" s="17">
        <f>ROUND(G57/9781,2)</f>
        <v>170.96</v>
      </c>
      <c r="I57" s="10"/>
      <c r="J57" s="10"/>
    </row>
    <row r="58" spans="1:10" x14ac:dyDescent="0.25">
      <c r="A58" s="21" t="s">
        <v>57</v>
      </c>
      <c r="B58" s="21"/>
      <c r="C58" s="11">
        <v>0</v>
      </c>
      <c r="D58" s="11">
        <v>0</v>
      </c>
      <c r="E58" s="11">
        <v>0</v>
      </c>
      <c r="F58" s="11">
        <v>0</v>
      </c>
      <c r="G58" s="11">
        <f>SUM(C58:F58)</f>
        <v>0</v>
      </c>
      <c r="H58" s="17">
        <f>ROUND(G58/9781,2)</f>
        <v>0</v>
      </c>
      <c r="I58" s="10"/>
      <c r="J58" s="10"/>
    </row>
    <row r="59" spans="1:10" x14ac:dyDescent="0.25">
      <c r="C59" s="9"/>
      <c r="D59" s="9"/>
      <c r="E59" s="9"/>
      <c r="F59" s="9"/>
      <c r="G59" s="9"/>
      <c r="H59" s="9"/>
      <c r="I59" s="10"/>
      <c r="J59" s="10"/>
    </row>
    <row r="60" spans="1:10" x14ac:dyDescent="0.25">
      <c r="C60" s="9"/>
      <c r="D60" s="9"/>
      <c r="E60" s="9"/>
      <c r="F60" s="9"/>
      <c r="G60" s="9"/>
      <c r="H60" s="9"/>
      <c r="I60" s="10"/>
      <c r="J60" s="10"/>
    </row>
    <row r="61" spans="1:10" x14ac:dyDescent="0.25">
      <c r="C61" s="9"/>
      <c r="D61" s="9"/>
      <c r="E61" s="9"/>
      <c r="F61" s="9"/>
      <c r="G61" s="9"/>
      <c r="H61" s="9"/>
      <c r="I61" s="10"/>
      <c r="J61" s="10"/>
    </row>
    <row r="62" spans="1:10" x14ac:dyDescent="0.25">
      <c r="C62" s="9"/>
      <c r="D62" s="9"/>
      <c r="E62" s="9"/>
      <c r="F62" s="9"/>
      <c r="G62" s="9"/>
      <c r="H62" s="9"/>
      <c r="I62" s="10"/>
      <c r="J62" s="10"/>
    </row>
    <row r="63" spans="1:10" x14ac:dyDescent="0.25">
      <c r="A63" s="26" t="s">
        <v>58</v>
      </c>
      <c r="B63" s="26"/>
      <c r="C63" s="15" t="s">
        <v>2</v>
      </c>
      <c r="D63" s="15">
        <v>2024</v>
      </c>
      <c r="E63" s="15" t="s">
        <v>60</v>
      </c>
      <c r="F63" s="14"/>
      <c r="G63" s="15" t="s">
        <v>61</v>
      </c>
      <c r="H63" s="15" t="s">
        <v>2</v>
      </c>
      <c r="I63" s="13" t="s">
        <v>62</v>
      </c>
      <c r="J63" s="13" t="s">
        <v>60</v>
      </c>
    </row>
    <row r="64" spans="1:10" x14ac:dyDescent="0.25">
      <c r="A64" s="21" t="s">
        <v>59</v>
      </c>
      <c r="B64" s="21"/>
      <c r="C64" s="16">
        <f>ROUND(0.7362, 4)</f>
        <v>0.73619999999999997</v>
      </c>
      <c r="D64" s="16">
        <f>ROUND(0.717, 4)</f>
        <v>0.71699999999999997</v>
      </c>
      <c r="E64" s="16">
        <f>ROUND(0.7856, 4)</f>
        <v>0.78559999999999997</v>
      </c>
      <c r="F64" s="9"/>
      <c r="G64" s="15" t="s">
        <v>63</v>
      </c>
      <c r="H64" s="27" t="s">
        <v>64</v>
      </c>
      <c r="I64" s="24" t="s">
        <v>65</v>
      </c>
      <c r="J64" s="24" t="s">
        <v>66</v>
      </c>
    </row>
    <row r="65" spans="1:10" x14ac:dyDescent="0.25">
      <c r="A65" s="21" t="s">
        <v>67</v>
      </c>
      <c r="B65" s="21"/>
      <c r="C65" s="16">
        <f>ROUND(0.7362, 4)</f>
        <v>0.73619999999999997</v>
      </c>
      <c r="D65" s="16">
        <f>ROUND(0.6855, 4)</f>
        <v>0.6855</v>
      </c>
      <c r="E65" s="16">
        <f>ROUND(0.7702, 4)</f>
        <v>0.7702</v>
      </c>
      <c r="F65" s="9"/>
      <c r="G65" s="15" t="s">
        <v>68</v>
      </c>
      <c r="H65" s="28"/>
      <c r="I65" s="25"/>
      <c r="J65" s="25"/>
    </row>
    <row r="66" spans="1:10" x14ac:dyDescent="0.25">
      <c r="C66" s="9"/>
      <c r="D66" s="9"/>
      <c r="E66" s="9"/>
      <c r="F66" s="9"/>
      <c r="G66" s="9"/>
      <c r="H66" s="9"/>
      <c r="I66" s="10"/>
      <c r="J66" s="10"/>
    </row>
    <row r="67" spans="1:10" x14ac:dyDescent="0.25">
      <c r="C67" s="9"/>
      <c r="D67" s="9"/>
      <c r="E67" s="9"/>
      <c r="F67" s="9"/>
      <c r="G67" s="9"/>
      <c r="H67" s="9"/>
      <c r="I67" s="10"/>
      <c r="J67" s="10"/>
    </row>
    <row r="68" spans="1:10" x14ac:dyDescent="0.25">
      <c r="C68" s="9"/>
      <c r="D68" s="9"/>
      <c r="E68" s="9"/>
      <c r="F68" s="9"/>
      <c r="G68" s="9"/>
      <c r="H68" s="9"/>
      <c r="I68" s="10"/>
      <c r="J68" s="10"/>
    </row>
    <row r="69" spans="1:10" x14ac:dyDescent="0.25">
      <c r="A69" s="26" t="s">
        <v>69</v>
      </c>
      <c r="B69" s="26"/>
      <c r="C69" s="15" t="s">
        <v>2</v>
      </c>
      <c r="D69" s="15" t="s">
        <v>332</v>
      </c>
      <c r="E69" s="15" t="s">
        <v>71</v>
      </c>
      <c r="F69" s="15" t="s">
        <v>72</v>
      </c>
      <c r="G69" s="15" t="s">
        <v>73</v>
      </c>
      <c r="H69" s="14"/>
      <c r="I69" s="18"/>
      <c r="J69" s="18"/>
    </row>
    <row r="70" spans="1:10" x14ac:dyDescent="0.25">
      <c r="A70" s="21" t="s">
        <v>74</v>
      </c>
      <c r="B70" s="21"/>
      <c r="C70" s="17">
        <v>128.38</v>
      </c>
      <c r="D70" s="17">
        <v>126.02</v>
      </c>
      <c r="E70" s="17">
        <v>96.15</v>
      </c>
      <c r="F70" s="17">
        <v>57.94</v>
      </c>
      <c r="G70" s="17">
        <f>12/12*C70</f>
        <v>128.38</v>
      </c>
      <c r="H70" s="9"/>
      <c r="I70" s="10"/>
      <c r="J70" s="10"/>
    </row>
    <row r="71" spans="1:10" x14ac:dyDescent="0.25">
      <c r="A71" s="21" t="s">
        <v>75</v>
      </c>
      <c r="B71" s="21"/>
      <c r="C71" s="17">
        <v>72.290000000000006</v>
      </c>
      <c r="D71" s="17">
        <v>75.23</v>
      </c>
      <c r="E71" s="17">
        <v>62.28</v>
      </c>
      <c r="F71" s="17">
        <v>66.599999999999994</v>
      </c>
      <c r="G71" s="17">
        <f>12/12*C71</f>
        <v>72.290000000000006</v>
      </c>
      <c r="H71" s="9"/>
      <c r="I71" s="10"/>
      <c r="J71" s="10"/>
    </row>
    <row r="72" spans="1:10" x14ac:dyDescent="0.25">
      <c r="A72" s="21" t="s">
        <v>76</v>
      </c>
      <c r="B72" s="21"/>
      <c r="C72" s="17">
        <v>350.34</v>
      </c>
      <c r="D72" s="17">
        <v>367.64</v>
      </c>
      <c r="E72" s="17">
        <v>300.02</v>
      </c>
      <c r="F72" s="17">
        <v>295.08</v>
      </c>
      <c r="G72" s="17">
        <f>12/12*C72</f>
        <v>350.34</v>
      </c>
      <c r="H72" s="9"/>
      <c r="I72" s="10"/>
      <c r="J72" s="10"/>
    </row>
    <row r="73" spans="1:10" x14ac:dyDescent="0.25">
      <c r="A73" s="21" t="s">
        <v>77</v>
      </c>
      <c r="B73" s="21"/>
      <c r="C73" s="17">
        <v>170.96</v>
      </c>
      <c r="D73" s="17">
        <v>161.82</v>
      </c>
      <c r="E73" s="17">
        <v>120.96</v>
      </c>
      <c r="F73" s="17">
        <v>83.12</v>
      </c>
      <c r="G73" s="17">
        <f>12/12*C73</f>
        <v>170.96</v>
      </c>
      <c r="H73" s="9"/>
      <c r="I73" s="10"/>
      <c r="J73" s="10"/>
    </row>
    <row r="74" spans="1:10" x14ac:dyDescent="0.25">
      <c r="C74" s="9"/>
      <c r="D74" s="9"/>
      <c r="E74" s="9"/>
      <c r="F74" s="9"/>
      <c r="G74" s="9"/>
      <c r="H74" s="9"/>
      <c r="I74" s="10"/>
      <c r="J74" s="10"/>
    </row>
    <row r="75" spans="1:10" x14ac:dyDescent="0.25">
      <c r="C75" s="9"/>
      <c r="D75" s="9"/>
      <c r="E75" s="9"/>
      <c r="F75" s="9"/>
      <c r="G75" s="9"/>
      <c r="H75" s="9"/>
      <c r="I75" s="10"/>
      <c r="J75" s="10"/>
    </row>
    <row r="76" spans="1:10" x14ac:dyDescent="0.25">
      <c r="A76" s="22" t="s">
        <v>61</v>
      </c>
      <c r="B76" s="23"/>
      <c r="C76" s="9"/>
      <c r="D76" s="9"/>
      <c r="E76" s="9"/>
      <c r="F76" s="9"/>
      <c r="G76" s="9"/>
      <c r="H76" s="9"/>
      <c r="I76" s="10"/>
      <c r="J76" s="10"/>
    </row>
    <row r="77" spans="1:10" x14ac:dyDescent="0.25">
      <c r="A77" s="3" t="s">
        <v>78</v>
      </c>
      <c r="B77" s="1" t="s">
        <v>333</v>
      </c>
    </row>
    <row r="78" spans="1:10" x14ac:dyDescent="0.25">
      <c r="A78" s="3" t="s">
        <v>71</v>
      </c>
      <c r="B78" s="1" t="s">
        <v>80</v>
      </c>
    </row>
    <row r="79" spans="1:10" x14ac:dyDescent="0.25">
      <c r="A79" s="3" t="s">
        <v>72</v>
      </c>
      <c r="B79" s="1" t="s">
        <v>81</v>
      </c>
    </row>
    <row r="80" spans="1:10" x14ac:dyDescent="0.25">
      <c r="A80" s="3" t="s">
        <v>73</v>
      </c>
      <c r="B80" s="1" t="s">
        <v>82</v>
      </c>
    </row>
  </sheetData>
  <mergeCells count="19">
    <mergeCell ref="C7:G7"/>
    <mergeCell ref="A49:B49"/>
    <mergeCell ref="A50:B50"/>
    <mergeCell ref="A55:B55"/>
    <mergeCell ref="A56:B56"/>
    <mergeCell ref="J64:J65"/>
    <mergeCell ref="A65:B65"/>
    <mergeCell ref="A69:B69"/>
    <mergeCell ref="A70:B70"/>
    <mergeCell ref="A57:B57"/>
    <mergeCell ref="A58:B58"/>
    <mergeCell ref="A63:B63"/>
    <mergeCell ref="A64:B64"/>
    <mergeCell ref="H64:H65"/>
    <mergeCell ref="A71:B71"/>
    <mergeCell ref="A72:B72"/>
    <mergeCell ref="A73:B73"/>
    <mergeCell ref="A76:B76"/>
    <mergeCell ref="I64:I65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2:J76"/>
  <sheetViews>
    <sheetView workbookViewId="0">
      <selection activeCell="H5" sqref="H5"/>
    </sheetView>
  </sheetViews>
  <sheetFormatPr defaultRowHeight="15" x14ac:dyDescent="0.25"/>
  <cols>
    <col min="1" max="1" width="28.42578125" bestFit="1" customWidth="1"/>
    <col min="2" max="2" width="59.5703125" bestFit="1" customWidth="1"/>
    <col min="3" max="3" width="12.7109375" bestFit="1" customWidth="1"/>
    <col min="4" max="4" width="24.42578125" bestFit="1" customWidth="1"/>
    <col min="5" max="5" width="13.85546875" bestFit="1" customWidth="1"/>
    <col min="6" max="6" width="8.5703125" bestFit="1" customWidth="1"/>
    <col min="7" max="7" width="47.7109375" bestFit="1" customWidth="1"/>
    <col min="8" max="9" width="16.7109375" bestFit="1" customWidth="1"/>
    <col min="10" max="10" width="24.42578125" bestFit="1" customWidth="1"/>
  </cols>
  <sheetData>
    <row r="2" spans="1:10" ht="18.75" x14ac:dyDescent="0.3">
      <c r="A2" s="3" t="s">
        <v>0</v>
      </c>
      <c r="B2" s="4" t="s">
        <v>334</v>
      </c>
    </row>
    <row r="3" spans="1:10" x14ac:dyDescent="0.25">
      <c r="A3" s="3" t="s">
        <v>2</v>
      </c>
      <c r="B3" s="1" t="s">
        <v>3</v>
      </c>
    </row>
    <row r="4" spans="1:10" x14ac:dyDescent="0.25">
      <c r="A4" s="3" t="s">
        <v>4</v>
      </c>
      <c r="B4" s="20">
        <v>2084</v>
      </c>
    </row>
    <row r="7" spans="1:10" x14ac:dyDescent="0.25">
      <c r="C7" s="22" t="s">
        <v>5</v>
      </c>
      <c r="D7" s="21"/>
      <c r="E7" s="21"/>
      <c r="F7" s="21"/>
      <c r="G7" s="21"/>
    </row>
    <row r="8" spans="1:10" x14ac:dyDescent="0.25">
      <c r="A8" s="3" t="s">
        <v>6</v>
      </c>
      <c r="B8" s="3" t="s">
        <v>7</v>
      </c>
      <c r="C8" s="15" t="s">
        <v>8</v>
      </c>
      <c r="D8" s="15" t="s">
        <v>9</v>
      </c>
      <c r="E8" s="15" t="s">
        <v>10</v>
      </c>
      <c r="F8" s="15" t="s">
        <v>11</v>
      </c>
      <c r="G8" s="15" t="s">
        <v>12</v>
      </c>
      <c r="H8" s="15" t="s">
        <v>13</v>
      </c>
      <c r="I8" s="15" t="s">
        <v>14</v>
      </c>
      <c r="J8" s="15" t="s">
        <v>15</v>
      </c>
    </row>
    <row r="9" spans="1:10" x14ac:dyDescent="0.25">
      <c r="A9" s="1" t="s">
        <v>16</v>
      </c>
      <c r="B9" s="1" t="s">
        <v>17</v>
      </c>
      <c r="C9" s="11"/>
      <c r="D9" s="11"/>
      <c r="E9" s="11">
        <v>78</v>
      </c>
      <c r="F9" s="11"/>
      <c r="G9" s="11">
        <f t="shared" ref="G9:G44" si="0">SUM(C9:F9)</f>
        <v>78</v>
      </c>
      <c r="H9" s="17">
        <f t="shared" ref="H9:H44" si="1">ROUND(G9/2084,2)</f>
        <v>0.04</v>
      </c>
      <c r="I9" s="16">
        <f t="shared" ref="I9:I44" si="2">ROUND(G9/$G$45,3)</f>
        <v>0</v>
      </c>
      <c r="J9" s="16">
        <f>ROUND(G9/93-1,2)</f>
        <v>-0.16</v>
      </c>
    </row>
    <row r="10" spans="1:10" x14ac:dyDescent="0.25">
      <c r="A10" s="1" t="s">
        <v>16</v>
      </c>
      <c r="B10" s="1" t="s">
        <v>19</v>
      </c>
      <c r="C10" s="11">
        <v>68190</v>
      </c>
      <c r="D10" s="11"/>
      <c r="E10" s="11"/>
      <c r="F10" s="11">
        <v>450</v>
      </c>
      <c r="G10" s="11">
        <f t="shared" si="0"/>
        <v>68640</v>
      </c>
      <c r="H10" s="17">
        <f t="shared" si="1"/>
        <v>32.94</v>
      </c>
      <c r="I10" s="16">
        <f t="shared" si="2"/>
        <v>7.4999999999999997E-2</v>
      </c>
      <c r="J10" s="16">
        <f>ROUND(G10/67005-1,2)</f>
        <v>0.02</v>
      </c>
    </row>
    <row r="11" spans="1:10" x14ac:dyDescent="0.25">
      <c r="A11" s="1" t="s">
        <v>16</v>
      </c>
      <c r="B11" s="1" t="s">
        <v>20</v>
      </c>
      <c r="C11" s="11">
        <v>101650</v>
      </c>
      <c r="D11" s="11"/>
      <c r="E11" s="11"/>
      <c r="F11" s="11"/>
      <c r="G11" s="11">
        <f t="shared" si="0"/>
        <v>101650</v>
      </c>
      <c r="H11" s="17">
        <f t="shared" si="1"/>
        <v>48.78</v>
      </c>
      <c r="I11" s="16">
        <f t="shared" si="2"/>
        <v>0.111</v>
      </c>
      <c r="J11" s="16">
        <f>ROUND(G11/102345-1,2)</f>
        <v>-0.01</v>
      </c>
    </row>
    <row r="12" spans="1:10" x14ac:dyDescent="0.25">
      <c r="A12" s="1" t="s">
        <v>16</v>
      </c>
      <c r="B12" s="1" t="s">
        <v>87</v>
      </c>
      <c r="C12" s="11"/>
      <c r="D12" s="11"/>
      <c r="E12" s="11">
        <v>181</v>
      </c>
      <c r="F12" s="11"/>
      <c r="G12" s="11">
        <f t="shared" si="0"/>
        <v>181</v>
      </c>
      <c r="H12" s="17">
        <f t="shared" si="1"/>
        <v>0.09</v>
      </c>
      <c r="I12" s="16">
        <f t="shared" si="2"/>
        <v>0</v>
      </c>
      <c r="J12" s="16">
        <f>ROUND(G12/167-1,2)</f>
        <v>0.08</v>
      </c>
    </row>
    <row r="13" spans="1:10" x14ac:dyDescent="0.25">
      <c r="A13" s="1" t="s">
        <v>16</v>
      </c>
      <c r="B13" s="1" t="s">
        <v>21</v>
      </c>
      <c r="C13" s="11"/>
      <c r="D13" s="11"/>
      <c r="E13" s="11">
        <v>95</v>
      </c>
      <c r="F13" s="11"/>
      <c r="G13" s="11">
        <f t="shared" si="0"/>
        <v>95</v>
      </c>
      <c r="H13" s="17">
        <f t="shared" si="1"/>
        <v>0.05</v>
      </c>
      <c r="I13" s="16">
        <f t="shared" si="2"/>
        <v>0</v>
      </c>
      <c r="J13" s="16">
        <f>ROUND(G13/208-1,2)</f>
        <v>-0.54</v>
      </c>
    </row>
    <row r="14" spans="1:10" x14ac:dyDescent="0.25">
      <c r="A14" s="1" t="s">
        <v>16</v>
      </c>
      <c r="B14" s="1" t="s">
        <v>22</v>
      </c>
      <c r="C14" s="11"/>
      <c r="D14" s="11"/>
      <c r="E14" s="11">
        <v>900</v>
      </c>
      <c r="F14" s="11"/>
      <c r="G14" s="11">
        <f t="shared" si="0"/>
        <v>900</v>
      </c>
      <c r="H14" s="17">
        <f t="shared" si="1"/>
        <v>0.43</v>
      </c>
      <c r="I14" s="16">
        <f t="shared" si="2"/>
        <v>1E-3</v>
      </c>
      <c r="J14" s="16">
        <f>ROUND(G14/2520-1,2)</f>
        <v>-0.64</v>
      </c>
    </row>
    <row r="15" spans="1:10" x14ac:dyDescent="0.25">
      <c r="A15" s="1" t="s">
        <v>16</v>
      </c>
      <c r="B15" s="1" t="s">
        <v>23</v>
      </c>
      <c r="C15" s="11"/>
      <c r="D15" s="11"/>
      <c r="E15" s="11">
        <v>96560</v>
      </c>
      <c r="F15" s="11">
        <v>3940</v>
      </c>
      <c r="G15" s="11">
        <f t="shared" si="0"/>
        <v>100500</v>
      </c>
      <c r="H15" s="17">
        <f t="shared" si="1"/>
        <v>48.22</v>
      </c>
      <c r="I15" s="16">
        <f t="shared" si="2"/>
        <v>0.109</v>
      </c>
      <c r="J15" s="16">
        <f>ROUND(G15/104000-1,2)</f>
        <v>-0.03</v>
      </c>
    </row>
    <row r="16" spans="1:10" x14ac:dyDescent="0.25">
      <c r="A16" s="1" t="s">
        <v>16</v>
      </c>
      <c r="B16" s="1" t="s">
        <v>24</v>
      </c>
      <c r="C16" s="11">
        <v>79830</v>
      </c>
      <c r="D16" s="11"/>
      <c r="E16" s="11">
        <v>7040</v>
      </c>
      <c r="F16" s="11"/>
      <c r="G16" s="11">
        <f t="shared" si="0"/>
        <v>86870</v>
      </c>
      <c r="H16" s="17">
        <f t="shared" si="1"/>
        <v>41.68</v>
      </c>
      <c r="I16" s="16">
        <f t="shared" si="2"/>
        <v>9.5000000000000001E-2</v>
      </c>
      <c r="J16" s="16">
        <f>ROUND(G16/87300-1,2)</f>
        <v>0</v>
      </c>
    </row>
    <row r="17" spans="1:10" x14ac:dyDescent="0.25">
      <c r="A17" s="1" t="s">
        <v>16</v>
      </c>
      <c r="B17" s="1" t="s">
        <v>25</v>
      </c>
      <c r="C17" s="11"/>
      <c r="D17" s="11"/>
      <c r="E17" s="11">
        <v>6185</v>
      </c>
      <c r="F17" s="11"/>
      <c r="G17" s="11">
        <f t="shared" si="0"/>
        <v>6185</v>
      </c>
      <c r="H17" s="17">
        <f t="shared" si="1"/>
        <v>2.97</v>
      </c>
      <c r="I17" s="16">
        <f t="shared" si="2"/>
        <v>7.0000000000000001E-3</v>
      </c>
      <c r="J17" s="16">
        <f>ROUND(G17/3575-1,2)</f>
        <v>0.73</v>
      </c>
    </row>
    <row r="18" spans="1:10" x14ac:dyDescent="0.25">
      <c r="A18" s="1" t="s">
        <v>16</v>
      </c>
      <c r="B18" s="1" t="s">
        <v>26</v>
      </c>
      <c r="C18" s="11">
        <v>121730</v>
      </c>
      <c r="D18" s="11"/>
      <c r="E18" s="11"/>
      <c r="F18" s="11">
        <v>2100</v>
      </c>
      <c r="G18" s="11">
        <f t="shared" si="0"/>
        <v>123830</v>
      </c>
      <c r="H18" s="17">
        <f t="shared" si="1"/>
        <v>59.42</v>
      </c>
      <c r="I18" s="16">
        <f t="shared" si="2"/>
        <v>0.13500000000000001</v>
      </c>
      <c r="J18" s="16">
        <f>ROUND(G18/125040-1,2)</f>
        <v>-0.01</v>
      </c>
    </row>
    <row r="19" spans="1:10" x14ac:dyDescent="0.25">
      <c r="A19" s="1" t="s">
        <v>16</v>
      </c>
      <c r="B19" s="1" t="s">
        <v>27</v>
      </c>
      <c r="C19" s="11"/>
      <c r="D19" s="11"/>
      <c r="E19" s="11">
        <v>219</v>
      </c>
      <c r="F19" s="11"/>
      <c r="G19" s="11">
        <f t="shared" si="0"/>
        <v>219</v>
      </c>
      <c r="H19" s="17">
        <f t="shared" si="1"/>
        <v>0.11</v>
      </c>
      <c r="I19" s="16">
        <f t="shared" si="2"/>
        <v>0</v>
      </c>
      <c r="J19" s="16">
        <f>ROUND(G19/190-1,2)</f>
        <v>0.15</v>
      </c>
    </row>
    <row r="20" spans="1:10" x14ac:dyDescent="0.25">
      <c r="A20" s="1" t="s">
        <v>16</v>
      </c>
      <c r="B20" s="1" t="s">
        <v>28</v>
      </c>
      <c r="C20" s="11"/>
      <c r="D20" s="11"/>
      <c r="E20" s="11">
        <v>116</v>
      </c>
      <c r="F20" s="11"/>
      <c r="G20" s="11">
        <f t="shared" si="0"/>
        <v>116</v>
      </c>
      <c r="H20" s="17">
        <f t="shared" si="1"/>
        <v>0.06</v>
      </c>
      <c r="I20" s="16">
        <f t="shared" si="2"/>
        <v>0</v>
      </c>
      <c r="J20" s="16">
        <f>ROUND(G20/306-1,2)</f>
        <v>-0.62</v>
      </c>
    </row>
    <row r="21" spans="1:10" x14ac:dyDescent="0.25">
      <c r="A21" s="1" t="s">
        <v>16</v>
      </c>
      <c r="B21" s="1" t="s">
        <v>29</v>
      </c>
      <c r="C21" s="11"/>
      <c r="D21" s="11"/>
      <c r="E21" s="11">
        <v>107</v>
      </c>
      <c r="F21" s="11"/>
      <c r="G21" s="11">
        <f t="shared" si="0"/>
        <v>107</v>
      </c>
      <c r="H21" s="17">
        <f t="shared" si="1"/>
        <v>0.05</v>
      </c>
      <c r="I21" s="16">
        <f t="shared" si="2"/>
        <v>0</v>
      </c>
      <c r="J21" s="16"/>
    </row>
    <row r="22" spans="1:10" x14ac:dyDescent="0.25">
      <c r="A22" s="1" t="s">
        <v>16</v>
      </c>
      <c r="B22" s="1" t="s">
        <v>30</v>
      </c>
      <c r="C22" s="11"/>
      <c r="D22" s="11"/>
      <c r="E22" s="11">
        <v>4070</v>
      </c>
      <c r="F22" s="11"/>
      <c r="G22" s="11">
        <f t="shared" si="0"/>
        <v>4070</v>
      </c>
      <c r="H22" s="17">
        <f t="shared" si="1"/>
        <v>1.95</v>
      </c>
      <c r="I22" s="16">
        <f t="shared" si="2"/>
        <v>4.0000000000000001E-3</v>
      </c>
      <c r="J22" s="16">
        <f>ROUND(G22/7880-1,2)</f>
        <v>-0.48</v>
      </c>
    </row>
    <row r="23" spans="1:10" x14ac:dyDescent="0.25">
      <c r="A23" s="1" t="s">
        <v>16</v>
      </c>
      <c r="B23" s="1" t="s">
        <v>31</v>
      </c>
      <c r="C23" s="11"/>
      <c r="D23" s="11"/>
      <c r="E23" s="11">
        <v>860</v>
      </c>
      <c r="F23" s="11"/>
      <c r="G23" s="11">
        <f t="shared" si="0"/>
        <v>860</v>
      </c>
      <c r="H23" s="17">
        <f t="shared" si="1"/>
        <v>0.41</v>
      </c>
      <c r="I23" s="16">
        <f t="shared" si="2"/>
        <v>1E-3</v>
      </c>
      <c r="J23" s="16">
        <f>ROUND(G23/410-1,2)</f>
        <v>1.1000000000000001</v>
      </c>
    </row>
    <row r="24" spans="1:10" x14ac:dyDescent="0.25">
      <c r="A24" s="1" t="s">
        <v>16</v>
      </c>
      <c r="B24" s="1" t="s">
        <v>32</v>
      </c>
      <c r="C24" s="11"/>
      <c r="D24" s="11"/>
      <c r="E24" s="11">
        <v>670</v>
      </c>
      <c r="F24" s="11"/>
      <c r="G24" s="11">
        <f t="shared" si="0"/>
        <v>670</v>
      </c>
      <c r="H24" s="17">
        <f t="shared" si="1"/>
        <v>0.32</v>
      </c>
      <c r="I24" s="16">
        <f t="shared" si="2"/>
        <v>1E-3</v>
      </c>
      <c r="J24" s="16">
        <f>ROUND(G24/850-1,2)</f>
        <v>-0.21</v>
      </c>
    </row>
    <row r="25" spans="1:10" x14ac:dyDescent="0.25">
      <c r="A25" s="1" t="s">
        <v>16</v>
      </c>
      <c r="B25" s="1" t="s">
        <v>33</v>
      </c>
      <c r="C25" s="11"/>
      <c r="D25" s="11"/>
      <c r="E25" s="11">
        <v>2621</v>
      </c>
      <c r="F25" s="11"/>
      <c r="G25" s="11">
        <f t="shared" si="0"/>
        <v>2621</v>
      </c>
      <c r="H25" s="17">
        <f t="shared" si="1"/>
        <v>1.26</v>
      </c>
      <c r="I25" s="16">
        <f t="shared" si="2"/>
        <v>3.0000000000000001E-3</v>
      </c>
      <c r="J25" s="16">
        <f>ROUND(G25/2735-1,2)</f>
        <v>-0.04</v>
      </c>
    </row>
    <row r="26" spans="1:10" x14ac:dyDescent="0.25">
      <c r="A26" s="1" t="s">
        <v>16</v>
      </c>
      <c r="B26" s="1" t="s">
        <v>34</v>
      </c>
      <c r="C26" s="11"/>
      <c r="D26" s="11">
        <v>34</v>
      </c>
      <c r="E26" s="11">
        <v>348</v>
      </c>
      <c r="F26" s="11"/>
      <c r="G26" s="11">
        <f t="shared" si="0"/>
        <v>382</v>
      </c>
      <c r="H26" s="17">
        <f t="shared" si="1"/>
        <v>0.18</v>
      </c>
      <c r="I26" s="16">
        <f t="shared" si="2"/>
        <v>0</v>
      </c>
      <c r="J26" s="16">
        <f>ROUND(G26/311-1,2)</f>
        <v>0.23</v>
      </c>
    </row>
    <row r="27" spans="1:10" x14ac:dyDescent="0.25">
      <c r="A27" s="1" t="s">
        <v>16</v>
      </c>
      <c r="B27" s="1" t="s">
        <v>35</v>
      </c>
      <c r="C27" s="11"/>
      <c r="D27" s="11"/>
      <c r="E27" s="11">
        <v>780</v>
      </c>
      <c r="F27" s="11"/>
      <c r="G27" s="11">
        <f t="shared" si="0"/>
        <v>780</v>
      </c>
      <c r="H27" s="17">
        <f t="shared" si="1"/>
        <v>0.37</v>
      </c>
      <c r="I27" s="16">
        <f t="shared" si="2"/>
        <v>1E-3</v>
      </c>
      <c r="J27" s="16"/>
    </row>
    <row r="28" spans="1:10" x14ac:dyDescent="0.25">
      <c r="A28" s="1" t="s">
        <v>16</v>
      </c>
      <c r="B28" s="1" t="s">
        <v>37</v>
      </c>
      <c r="C28" s="11"/>
      <c r="D28" s="11"/>
      <c r="E28" s="11">
        <v>1690</v>
      </c>
      <c r="F28" s="11"/>
      <c r="G28" s="11">
        <f t="shared" si="0"/>
        <v>1690</v>
      </c>
      <c r="H28" s="17">
        <f t="shared" si="1"/>
        <v>0.81</v>
      </c>
      <c r="I28" s="16">
        <f t="shared" si="2"/>
        <v>2E-3</v>
      </c>
      <c r="J28" s="16">
        <f>ROUND(G28/2150-1,2)</f>
        <v>-0.21</v>
      </c>
    </row>
    <row r="29" spans="1:10" x14ac:dyDescent="0.25">
      <c r="A29" s="1" t="s">
        <v>16</v>
      </c>
      <c r="B29" s="1" t="s">
        <v>39</v>
      </c>
      <c r="C29" s="11"/>
      <c r="D29" s="11"/>
      <c r="E29" s="11">
        <v>6400</v>
      </c>
      <c r="F29" s="11"/>
      <c r="G29" s="11">
        <f t="shared" si="0"/>
        <v>6400</v>
      </c>
      <c r="H29" s="17">
        <f t="shared" si="1"/>
        <v>3.07</v>
      </c>
      <c r="I29" s="16">
        <f t="shared" si="2"/>
        <v>7.0000000000000001E-3</v>
      </c>
      <c r="J29" s="16">
        <f>ROUND(G29/4450-1,2)</f>
        <v>0.44</v>
      </c>
    </row>
    <row r="30" spans="1:10" x14ac:dyDescent="0.25">
      <c r="A30" s="1" t="s">
        <v>16</v>
      </c>
      <c r="B30" s="1" t="s">
        <v>38</v>
      </c>
      <c r="C30" s="11"/>
      <c r="D30" s="11"/>
      <c r="E30" s="11">
        <v>2560</v>
      </c>
      <c r="F30" s="11"/>
      <c r="G30" s="11">
        <f t="shared" si="0"/>
        <v>2560</v>
      </c>
      <c r="H30" s="17">
        <f t="shared" si="1"/>
        <v>1.23</v>
      </c>
      <c r="I30" s="16">
        <f t="shared" si="2"/>
        <v>3.0000000000000001E-3</v>
      </c>
      <c r="J30" s="16">
        <f>ROUND(G30/3000-1,2)</f>
        <v>-0.15</v>
      </c>
    </row>
    <row r="31" spans="1:10" x14ac:dyDescent="0.25">
      <c r="A31" s="1" t="s">
        <v>16</v>
      </c>
      <c r="B31" s="1" t="s">
        <v>40</v>
      </c>
      <c r="C31" s="11"/>
      <c r="D31" s="11"/>
      <c r="E31" s="11">
        <v>69555</v>
      </c>
      <c r="F31" s="11"/>
      <c r="G31" s="11">
        <f t="shared" si="0"/>
        <v>69555</v>
      </c>
      <c r="H31" s="17">
        <f t="shared" si="1"/>
        <v>33.380000000000003</v>
      </c>
      <c r="I31" s="16">
        <f t="shared" si="2"/>
        <v>7.5999999999999998E-2</v>
      </c>
      <c r="J31" s="16">
        <f>ROUND(G31/70125-1,2)</f>
        <v>-0.01</v>
      </c>
    </row>
    <row r="32" spans="1:10" x14ac:dyDescent="0.25">
      <c r="A32" s="1" t="s">
        <v>16</v>
      </c>
      <c r="B32" s="1" t="s">
        <v>41</v>
      </c>
      <c r="C32" s="11"/>
      <c r="D32" s="11"/>
      <c r="E32" s="11">
        <v>5240</v>
      </c>
      <c r="F32" s="11"/>
      <c r="G32" s="11">
        <f t="shared" si="0"/>
        <v>5240</v>
      </c>
      <c r="H32" s="17">
        <f t="shared" si="1"/>
        <v>2.5099999999999998</v>
      </c>
      <c r="I32" s="16">
        <f t="shared" si="2"/>
        <v>6.0000000000000001E-3</v>
      </c>
      <c r="J32" s="16">
        <f>ROUND(G32/6250-1,2)</f>
        <v>-0.16</v>
      </c>
    </row>
    <row r="33" spans="1:10" x14ac:dyDescent="0.25">
      <c r="A33" s="1" t="s">
        <v>16</v>
      </c>
      <c r="B33" s="1" t="s">
        <v>42</v>
      </c>
      <c r="C33" s="11"/>
      <c r="D33" s="11"/>
      <c r="E33" s="11">
        <v>16050</v>
      </c>
      <c r="F33" s="11"/>
      <c r="G33" s="11">
        <f t="shared" si="0"/>
        <v>16050</v>
      </c>
      <c r="H33" s="17">
        <f t="shared" si="1"/>
        <v>7.7</v>
      </c>
      <c r="I33" s="16">
        <f t="shared" si="2"/>
        <v>1.7000000000000001E-2</v>
      </c>
      <c r="J33" s="16">
        <f>ROUND(G33/16250-1,2)</f>
        <v>-0.01</v>
      </c>
    </row>
    <row r="34" spans="1:10" x14ac:dyDescent="0.25">
      <c r="A34" s="1" t="s">
        <v>16</v>
      </c>
      <c r="B34" s="1" t="s">
        <v>44</v>
      </c>
      <c r="C34" s="11"/>
      <c r="D34" s="11"/>
      <c r="E34" s="11">
        <v>42150</v>
      </c>
      <c r="F34" s="11"/>
      <c r="G34" s="11">
        <f t="shared" si="0"/>
        <v>42150</v>
      </c>
      <c r="H34" s="17">
        <f t="shared" si="1"/>
        <v>20.23</v>
      </c>
      <c r="I34" s="16">
        <f t="shared" si="2"/>
        <v>4.5999999999999999E-2</v>
      </c>
      <c r="J34" s="16">
        <f>ROUND(G34/45230-1,2)</f>
        <v>-7.0000000000000007E-2</v>
      </c>
    </row>
    <row r="35" spans="1:10" x14ac:dyDescent="0.25">
      <c r="A35" s="1" t="s">
        <v>16</v>
      </c>
      <c r="B35" s="1" t="s">
        <v>36</v>
      </c>
      <c r="C35" s="11"/>
      <c r="D35" s="11"/>
      <c r="E35" s="11"/>
      <c r="F35" s="11"/>
      <c r="G35" s="11">
        <f t="shared" si="0"/>
        <v>0</v>
      </c>
      <c r="H35" s="17">
        <f t="shared" si="1"/>
        <v>0</v>
      </c>
      <c r="I35" s="16">
        <f t="shared" si="2"/>
        <v>0</v>
      </c>
      <c r="J35" s="16">
        <f>ROUND(G35/765.5-1,2)</f>
        <v>-1</v>
      </c>
    </row>
    <row r="36" spans="1:10" x14ac:dyDescent="0.25">
      <c r="A36" s="1" t="s">
        <v>16</v>
      </c>
      <c r="B36" s="1" t="s">
        <v>145</v>
      </c>
      <c r="C36" s="11"/>
      <c r="D36" s="11"/>
      <c r="E36" s="11"/>
      <c r="F36" s="11"/>
      <c r="G36" s="11">
        <f t="shared" si="0"/>
        <v>0</v>
      </c>
      <c r="H36" s="17">
        <f t="shared" si="1"/>
        <v>0</v>
      </c>
      <c r="I36" s="16">
        <f t="shared" si="2"/>
        <v>0</v>
      </c>
      <c r="J36" s="16"/>
    </row>
    <row r="37" spans="1:10" x14ac:dyDescent="0.25">
      <c r="A37" s="1" t="s">
        <v>16</v>
      </c>
      <c r="B37" s="1" t="s">
        <v>96</v>
      </c>
      <c r="C37" s="11"/>
      <c r="D37" s="11"/>
      <c r="E37" s="11"/>
      <c r="F37" s="11"/>
      <c r="G37" s="11">
        <f t="shared" si="0"/>
        <v>0</v>
      </c>
      <c r="H37" s="17">
        <f t="shared" si="1"/>
        <v>0</v>
      </c>
      <c r="I37" s="16">
        <f t="shared" si="2"/>
        <v>0</v>
      </c>
      <c r="J37" s="16"/>
    </row>
    <row r="38" spans="1:10" x14ac:dyDescent="0.25">
      <c r="A38" s="1" t="s">
        <v>45</v>
      </c>
      <c r="B38" s="1" t="s">
        <v>46</v>
      </c>
      <c r="C38" s="11">
        <v>244285</v>
      </c>
      <c r="D38" s="11"/>
      <c r="E38" s="11"/>
      <c r="F38" s="11"/>
      <c r="G38" s="11">
        <f t="shared" si="0"/>
        <v>244285</v>
      </c>
      <c r="H38" s="17">
        <f t="shared" si="1"/>
        <v>117.22</v>
      </c>
      <c r="I38" s="16">
        <f t="shared" si="2"/>
        <v>0.26600000000000001</v>
      </c>
      <c r="J38" s="16">
        <f>ROUND(G38/243580-1,2)</f>
        <v>0</v>
      </c>
    </row>
    <row r="39" spans="1:10" x14ac:dyDescent="0.25">
      <c r="A39" s="1" t="s">
        <v>45</v>
      </c>
      <c r="B39" s="1" t="s">
        <v>48</v>
      </c>
      <c r="C39" s="11"/>
      <c r="D39" s="11"/>
      <c r="E39" s="11"/>
      <c r="F39" s="11">
        <v>1220</v>
      </c>
      <c r="G39" s="11">
        <f t="shared" si="0"/>
        <v>1220</v>
      </c>
      <c r="H39" s="17">
        <f t="shared" si="1"/>
        <v>0.59</v>
      </c>
      <c r="I39" s="16">
        <f t="shared" si="2"/>
        <v>1E-3</v>
      </c>
      <c r="J39" s="16"/>
    </row>
    <row r="40" spans="1:10" x14ac:dyDescent="0.25">
      <c r="A40" s="1" t="s">
        <v>45</v>
      </c>
      <c r="B40" s="1" t="s">
        <v>47</v>
      </c>
      <c r="C40" s="11"/>
      <c r="D40" s="11"/>
      <c r="E40" s="11">
        <v>30120</v>
      </c>
      <c r="F40" s="11"/>
      <c r="G40" s="11">
        <f t="shared" si="0"/>
        <v>30120</v>
      </c>
      <c r="H40" s="17">
        <f t="shared" si="1"/>
        <v>14.45</v>
      </c>
      <c r="I40" s="16">
        <f t="shared" si="2"/>
        <v>3.3000000000000002E-2</v>
      </c>
      <c r="J40" s="16">
        <f>ROUND(G40/35780-1,2)</f>
        <v>-0.16</v>
      </c>
    </row>
    <row r="41" spans="1:10" x14ac:dyDescent="0.25">
      <c r="A41" s="1" t="s">
        <v>49</v>
      </c>
      <c r="B41" s="1" t="s">
        <v>52</v>
      </c>
      <c r="C41" s="11"/>
      <c r="D41" s="11"/>
      <c r="E41" s="11"/>
      <c r="F41" s="11"/>
      <c r="G41" s="11">
        <f t="shared" si="0"/>
        <v>0</v>
      </c>
      <c r="H41" s="17">
        <f t="shared" si="1"/>
        <v>0</v>
      </c>
      <c r="I41" s="16">
        <f t="shared" si="2"/>
        <v>0</v>
      </c>
      <c r="J41" s="16"/>
    </row>
    <row r="42" spans="1:10" x14ac:dyDescent="0.25">
      <c r="A42" s="1" t="s">
        <v>49</v>
      </c>
      <c r="B42" s="1" t="s">
        <v>50</v>
      </c>
      <c r="C42" s="11"/>
      <c r="D42" s="11"/>
      <c r="E42" s="11"/>
      <c r="F42" s="11"/>
      <c r="G42" s="11">
        <f t="shared" si="0"/>
        <v>0</v>
      </c>
      <c r="H42" s="17">
        <f t="shared" si="1"/>
        <v>0</v>
      </c>
      <c r="I42" s="16">
        <f t="shared" si="2"/>
        <v>0</v>
      </c>
      <c r="J42" s="16"/>
    </row>
    <row r="43" spans="1:10" x14ac:dyDescent="0.25">
      <c r="A43" s="1" t="s">
        <v>49</v>
      </c>
      <c r="B43" s="1" t="s">
        <v>51</v>
      </c>
      <c r="C43" s="11"/>
      <c r="D43" s="11"/>
      <c r="E43" s="11"/>
      <c r="F43" s="11"/>
      <c r="G43" s="11">
        <f t="shared" si="0"/>
        <v>0</v>
      </c>
      <c r="H43" s="17">
        <f t="shared" si="1"/>
        <v>0</v>
      </c>
      <c r="I43" s="16">
        <f t="shared" si="2"/>
        <v>0</v>
      </c>
      <c r="J43" s="16"/>
    </row>
    <row r="44" spans="1:10" x14ac:dyDescent="0.25">
      <c r="A44" s="1" t="s">
        <v>49</v>
      </c>
      <c r="B44" s="1" t="s">
        <v>88</v>
      </c>
      <c r="C44" s="11"/>
      <c r="D44" s="11"/>
      <c r="E44" s="11"/>
      <c r="F44" s="11"/>
      <c r="G44" s="11">
        <f t="shared" si="0"/>
        <v>0</v>
      </c>
      <c r="H44" s="17">
        <f t="shared" si="1"/>
        <v>0</v>
      </c>
      <c r="I44" s="16">
        <f t="shared" si="2"/>
        <v>0</v>
      </c>
      <c r="J44" s="16"/>
    </row>
    <row r="45" spans="1:10" x14ac:dyDescent="0.25">
      <c r="A45" s="26" t="s">
        <v>12</v>
      </c>
      <c r="B45" s="26"/>
      <c r="C45" s="12">
        <f t="shared" ref="C45:H45" si="3">SUM(C8:C44)</f>
        <v>615685</v>
      </c>
      <c r="D45" s="12">
        <f t="shared" si="3"/>
        <v>34</v>
      </c>
      <c r="E45" s="12">
        <f t="shared" si="3"/>
        <v>294595</v>
      </c>
      <c r="F45" s="12">
        <f t="shared" si="3"/>
        <v>7710</v>
      </c>
      <c r="G45" s="12">
        <f t="shared" si="3"/>
        <v>918024</v>
      </c>
      <c r="H45" s="15">
        <f t="shared" si="3"/>
        <v>440.52</v>
      </c>
      <c r="I45" s="18"/>
      <c r="J45" s="18"/>
    </row>
    <row r="46" spans="1:10" x14ac:dyDescent="0.25">
      <c r="A46" s="26" t="s">
        <v>14</v>
      </c>
      <c r="B46" s="26"/>
      <c r="C46" s="13">
        <f>ROUND(C45/G45,2)</f>
        <v>0.67</v>
      </c>
      <c r="D46" s="13">
        <f>ROUND(D45/G45,2)</f>
        <v>0</v>
      </c>
      <c r="E46" s="13">
        <f>ROUND(E45/G45,2)</f>
        <v>0.32</v>
      </c>
      <c r="F46" s="13">
        <f>ROUND(F45/G45,2)</f>
        <v>0.01</v>
      </c>
      <c r="G46" s="14"/>
      <c r="H46" s="14"/>
      <c r="I46" s="18"/>
      <c r="J46" s="18"/>
    </row>
    <row r="47" spans="1:10" x14ac:dyDescent="0.25">
      <c r="A47" s="2" t="s">
        <v>53</v>
      </c>
      <c r="B47" s="2"/>
      <c r="C47" s="14"/>
      <c r="D47" s="14"/>
      <c r="E47" s="14"/>
      <c r="F47" s="14"/>
      <c r="G47" s="14"/>
      <c r="H47" s="14"/>
      <c r="I47" s="18"/>
      <c r="J47" s="18"/>
    </row>
    <row r="48" spans="1:10" x14ac:dyDescent="0.25">
      <c r="C48" s="9"/>
      <c r="D48" s="9"/>
      <c r="E48" s="9"/>
      <c r="F48" s="9"/>
      <c r="G48" s="9"/>
      <c r="H48" s="9"/>
      <c r="I48" s="10"/>
      <c r="J48" s="10"/>
    </row>
    <row r="49" spans="1:10" x14ac:dyDescent="0.25">
      <c r="C49" s="9"/>
      <c r="D49" s="9"/>
      <c r="E49" s="9"/>
      <c r="F49" s="9"/>
      <c r="G49" s="9"/>
      <c r="H49" s="9"/>
      <c r="I49" s="10"/>
      <c r="J49" s="10"/>
    </row>
    <row r="50" spans="1:10" x14ac:dyDescent="0.25">
      <c r="C50" s="9"/>
      <c r="D50" s="9"/>
      <c r="E50" s="9"/>
      <c r="F50" s="9"/>
      <c r="G50" s="9"/>
      <c r="H50" s="9"/>
      <c r="I50" s="10"/>
      <c r="J50" s="10"/>
    </row>
    <row r="51" spans="1:10" x14ac:dyDescent="0.25">
      <c r="A51" s="26" t="s">
        <v>54</v>
      </c>
      <c r="B51" s="26"/>
      <c r="C51" s="6" t="s">
        <v>8</v>
      </c>
      <c r="D51" s="6" t="s">
        <v>9</v>
      </c>
      <c r="E51" s="6" t="s">
        <v>10</v>
      </c>
      <c r="F51" s="6" t="s">
        <v>11</v>
      </c>
      <c r="G51" s="6" t="s">
        <v>12</v>
      </c>
      <c r="H51" s="3" t="s">
        <v>13</v>
      </c>
      <c r="I51" s="2"/>
      <c r="J51" s="2"/>
    </row>
    <row r="52" spans="1:10" x14ac:dyDescent="0.25">
      <c r="A52" s="21" t="s">
        <v>55</v>
      </c>
      <c r="B52" s="21"/>
      <c r="C52" s="5">
        <v>371400</v>
      </c>
      <c r="D52" s="5">
        <v>34</v>
      </c>
      <c r="E52" s="5">
        <v>264475</v>
      </c>
      <c r="F52" s="5">
        <v>6490</v>
      </c>
      <c r="G52" s="5">
        <f>SUM(C52:F52)</f>
        <v>642399</v>
      </c>
      <c r="H52" s="1">
        <f>ROUND(G52/2084,2)</f>
        <v>308.25</v>
      </c>
    </row>
    <row r="53" spans="1:10" x14ac:dyDescent="0.25">
      <c r="A53" s="21" t="s">
        <v>56</v>
      </c>
      <c r="B53" s="21"/>
      <c r="C53" s="5">
        <v>244285</v>
      </c>
      <c r="D53" s="5">
        <v>0</v>
      </c>
      <c r="E53" s="5">
        <v>30120</v>
      </c>
      <c r="F53" s="5">
        <v>1220</v>
      </c>
      <c r="G53" s="5">
        <f>SUM(C53:F53)</f>
        <v>275625</v>
      </c>
      <c r="H53" s="1">
        <f>ROUND(G53/2084,2)</f>
        <v>132.26</v>
      </c>
    </row>
    <row r="54" spans="1:10" x14ac:dyDescent="0.25">
      <c r="A54" s="21" t="s">
        <v>57</v>
      </c>
      <c r="B54" s="21"/>
      <c r="C54" s="5">
        <v>0</v>
      </c>
      <c r="D54" s="5">
        <v>0</v>
      </c>
      <c r="E54" s="5">
        <v>0</v>
      </c>
      <c r="F54" s="5">
        <v>0</v>
      </c>
      <c r="G54" s="5">
        <f>SUM(C54:F54)</f>
        <v>0</v>
      </c>
      <c r="H54" s="1">
        <f>ROUND(G54/2084,2)</f>
        <v>0</v>
      </c>
    </row>
    <row r="59" spans="1:10" x14ac:dyDescent="0.25">
      <c r="A59" s="26" t="s">
        <v>58</v>
      </c>
      <c r="B59" s="26"/>
      <c r="C59" s="3" t="s">
        <v>2</v>
      </c>
      <c r="D59" s="3">
        <v>2024</v>
      </c>
      <c r="E59" s="3" t="s">
        <v>60</v>
      </c>
      <c r="F59" s="2"/>
      <c r="G59" s="3" t="s">
        <v>61</v>
      </c>
      <c r="H59" s="3" t="s">
        <v>2</v>
      </c>
      <c r="I59" s="3" t="s">
        <v>62</v>
      </c>
      <c r="J59" s="3" t="s">
        <v>60</v>
      </c>
    </row>
    <row r="60" spans="1:10" x14ac:dyDescent="0.25">
      <c r="A60" s="21" t="s">
        <v>59</v>
      </c>
      <c r="B60" s="21"/>
      <c r="C60" s="8">
        <f>ROUND(0.7009, 4)</f>
        <v>0.70089999999999997</v>
      </c>
      <c r="D60" s="8">
        <f>ROUND(0.7025, 4)</f>
        <v>0.70250000000000001</v>
      </c>
      <c r="E60" s="8">
        <f>ROUND(0.7856, 4)</f>
        <v>0.78559999999999997</v>
      </c>
      <c r="G60" s="3" t="s">
        <v>63</v>
      </c>
      <c r="H60" s="29" t="s">
        <v>64</v>
      </c>
      <c r="I60" s="29" t="s">
        <v>65</v>
      </c>
      <c r="J60" s="29" t="s">
        <v>66</v>
      </c>
    </row>
    <row r="61" spans="1:10" x14ac:dyDescent="0.25">
      <c r="A61" s="21" t="s">
        <v>67</v>
      </c>
      <c r="B61" s="21"/>
      <c r="C61" s="8">
        <f>ROUND(0.7009, 4)</f>
        <v>0.70089999999999997</v>
      </c>
      <c r="D61" s="8">
        <f>ROUND(0.6919, 4)</f>
        <v>0.69189999999999996</v>
      </c>
      <c r="E61" s="8">
        <f>ROUND(0.7702, 4)</f>
        <v>0.7702</v>
      </c>
      <c r="G61" s="3" t="s">
        <v>68</v>
      </c>
      <c r="H61" s="21"/>
      <c r="I61" s="21"/>
      <c r="J61" s="21"/>
    </row>
    <row r="65" spans="1:10" x14ac:dyDescent="0.25">
      <c r="A65" s="26" t="s">
        <v>69</v>
      </c>
      <c r="B65" s="26"/>
      <c r="C65" s="3" t="s">
        <v>2</v>
      </c>
      <c r="D65" s="3" t="s">
        <v>335</v>
      </c>
      <c r="E65" s="3" t="s">
        <v>71</v>
      </c>
      <c r="F65" s="3" t="s">
        <v>72</v>
      </c>
      <c r="G65" s="3" t="s">
        <v>73</v>
      </c>
      <c r="H65" s="2"/>
      <c r="I65" s="2"/>
      <c r="J65" s="2"/>
    </row>
    <row r="66" spans="1:10" x14ac:dyDescent="0.25">
      <c r="A66" s="21" t="s">
        <v>74</v>
      </c>
      <c r="B66" s="21"/>
      <c r="C66" s="1">
        <v>117.22</v>
      </c>
      <c r="D66" s="1">
        <v>110.79</v>
      </c>
      <c r="E66" s="1">
        <v>96.15</v>
      </c>
      <c r="F66" s="1">
        <v>57.94</v>
      </c>
      <c r="G66" s="1">
        <f>12/12*C66</f>
        <v>117.22</v>
      </c>
    </row>
    <row r="67" spans="1:10" x14ac:dyDescent="0.25">
      <c r="A67" s="21" t="s">
        <v>75</v>
      </c>
      <c r="B67" s="21"/>
      <c r="C67" s="1">
        <v>59.42</v>
      </c>
      <c r="D67" s="1">
        <v>61.02</v>
      </c>
      <c r="E67" s="1">
        <v>62.28</v>
      </c>
      <c r="F67" s="1">
        <v>66.599999999999994</v>
      </c>
      <c r="G67" s="1">
        <f>12/12*C67</f>
        <v>59.42</v>
      </c>
    </row>
    <row r="68" spans="1:10" x14ac:dyDescent="0.25">
      <c r="A68" s="21" t="s">
        <v>76</v>
      </c>
      <c r="B68" s="21"/>
      <c r="C68" s="1">
        <v>308.25</v>
      </c>
      <c r="D68" s="1">
        <v>303.17</v>
      </c>
      <c r="E68" s="1">
        <v>300.02</v>
      </c>
      <c r="F68" s="1">
        <v>295.08</v>
      </c>
      <c r="G68" s="1">
        <f>12/12*C68</f>
        <v>308.25</v>
      </c>
    </row>
    <row r="69" spans="1:10" x14ac:dyDescent="0.25">
      <c r="A69" s="21" t="s">
        <v>77</v>
      </c>
      <c r="B69" s="21"/>
      <c r="C69" s="1">
        <v>132.26</v>
      </c>
      <c r="D69" s="1">
        <v>126.93</v>
      </c>
      <c r="E69" s="1">
        <v>120.96</v>
      </c>
      <c r="F69" s="1">
        <v>83.12</v>
      </c>
      <c r="G69" s="1">
        <f>12/12*C69</f>
        <v>132.26</v>
      </c>
    </row>
    <row r="72" spans="1:10" x14ac:dyDescent="0.25">
      <c r="A72" s="22" t="s">
        <v>61</v>
      </c>
      <c r="B72" s="23"/>
    </row>
    <row r="73" spans="1:10" x14ac:dyDescent="0.25">
      <c r="A73" s="3" t="s">
        <v>78</v>
      </c>
      <c r="B73" s="1" t="s">
        <v>336</v>
      </c>
    </row>
    <row r="74" spans="1:10" x14ac:dyDescent="0.25">
      <c r="A74" s="3" t="s">
        <v>71</v>
      </c>
      <c r="B74" s="1" t="s">
        <v>80</v>
      </c>
    </row>
    <row r="75" spans="1:10" x14ac:dyDescent="0.25">
      <c r="A75" s="3" t="s">
        <v>72</v>
      </c>
      <c r="B75" s="1" t="s">
        <v>81</v>
      </c>
    </row>
    <row r="76" spans="1:10" x14ac:dyDescent="0.25">
      <c r="A76" s="3" t="s">
        <v>73</v>
      </c>
      <c r="B76" s="1" t="s">
        <v>82</v>
      </c>
    </row>
  </sheetData>
  <mergeCells count="19">
    <mergeCell ref="C7:G7"/>
    <mergeCell ref="A45:B45"/>
    <mergeCell ref="A46:B46"/>
    <mergeCell ref="A51:B51"/>
    <mergeCell ref="A52:B52"/>
    <mergeCell ref="J60:J61"/>
    <mergeCell ref="A61:B61"/>
    <mergeCell ref="A65:B65"/>
    <mergeCell ref="A66:B66"/>
    <mergeCell ref="A53:B53"/>
    <mergeCell ref="A54:B54"/>
    <mergeCell ref="A59:B59"/>
    <mergeCell ref="A60:B60"/>
    <mergeCell ref="H60:H61"/>
    <mergeCell ref="A67:B67"/>
    <mergeCell ref="A68:B68"/>
    <mergeCell ref="A69:B69"/>
    <mergeCell ref="A72:B72"/>
    <mergeCell ref="I60:I61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2:J69"/>
  <sheetViews>
    <sheetView workbookViewId="0"/>
  </sheetViews>
  <sheetFormatPr defaultRowHeight="15" x14ac:dyDescent="0.25"/>
  <cols>
    <col min="1" max="1" width="28.42578125" bestFit="1" customWidth="1"/>
    <col min="2" max="2" width="59.5703125" bestFit="1" customWidth="1"/>
    <col min="3" max="3" width="12.7109375" bestFit="1" customWidth="1"/>
    <col min="4" max="4" width="29.42578125" bestFit="1" customWidth="1"/>
    <col min="5" max="5" width="13.85546875" bestFit="1" customWidth="1"/>
    <col min="6" max="6" width="8.5703125" bestFit="1" customWidth="1"/>
    <col min="7" max="7" width="47.7109375" bestFit="1" customWidth="1"/>
    <col min="8" max="9" width="16.7109375" bestFit="1" customWidth="1"/>
    <col min="10" max="10" width="24.42578125" bestFit="1" customWidth="1"/>
  </cols>
  <sheetData>
    <row r="2" spans="1:10" ht="18.75" x14ac:dyDescent="0.3">
      <c r="A2" s="3" t="s">
        <v>0</v>
      </c>
      <c r="B2" s="4" t="s">
        <v>337</v>
      </c>
    </row>
    <row r="3" spans="1:10" x14ac:dyDescent="0.25">
      <c r="A3" s="3" t="s">
        <v>2</v>
      </c>
      <c r="B3" s="1" t="s">
        <v>3</v>
      </c>
    </row>
    <row r="4" spans="1:10" x14ac:dyDescent="0.25">
      <c r="A4" s="3" t="s">
        <v>4</v>
      </c>
      <c r="B4" s="20">
        <v>1715</v>
      </c>
    </row>
    <row r="7" spans="1:10" x14ac:dyDescent="0.25">
      <c r="C7" s="22" t="s">
        <v>5</v>
      </c>
      <c r="D7" s="21"/>
      <c r="E7" s="21"/>
      <c r="F7" s="21"/>
      <c r="G7" s="21"/>
    </row>
    <row r="8" spans="1:10" x14ac:dyDescent="0.25">
      <c r="A8" s="3" t="s">
        <v>6</v>
      </c>
      <c r="B8" s="3" t="s">
        <v>7</v>
      </c>
      <c r="C8" s="15" t="s">
        <v>8</v>
      </c>
      <c r="D8" s="15" t="s">
        <v>9</v>
      </c>
      <c r="E8" s="15" t="s">
        <v>10</v>
      </c>
      <c r="F8" s="15" t="s">
        <v>11</v>
      </c>
      <c r="G8" s="15" t="s">
        <v>12</v>
      </c>
      <c r="H8" s="15" t="s">
        <v>13</v>
      </c>
      <c r="I8" s="15" t="s">
        <v>14</v>
      </c>
      <c r="J8" s="15" t="s">
        <v>15</v>
      </c>
    </row>
    <row r="9" spans="1:10" x14ac:dyDescent="0.25">
      <c r="A9" s="1" t="s">
        <v>16</v>
      </c>
      <c r="B9" s="1" t="s">
        <v>19</v>
      </c>
      <c r="C9" s="11">
        <v>43750</v>
      </c>
      <c r="D9" s="11"/>
      <c r="E9" s="11"/>
      <c r="F9" s="11"/>
      <c r="G9" s="11">
        <f t="shared" ref="G9:G18" si="0">SUM(C9:F9)</f>
        <v>43750</v>
      </c>
      <c r="H9" s="17">
        <f t="shared" ref="H9:H18" si="1">ROUND(G9/1715,2)</f>
        <v>25.51</v>
      </c>
      <c r="I9" s="16">
        <f t="shared" ref="I9:I18" si="2">ROUND(G9/$G$19,3)</f>
        <v>0.105</v>
      </c>
      <c r="J9" s="16">
        <f>ROUND(G9/44380-1,2)</f>
        <v>-0.01</v>
      </c>
    </row>
    <row r="10" spans="1:10" x14ac:dyDescent="0.25">
      <c r="A10" s="1" t="s">
        <v>16</v>
      </c>
      <c r="B10" s="1" t="s">
        <v>20</v>
      </c>
      <c r="C10" s="11">
        <v>54640</v>
      </c>
      <c r="D10" s="11"/>
      <c r="E10" s="11"/>
      <c r="F10" s="11"/>
      <c r="G10" s="11">
        <f t="shared" si="0"/>
        <v>54640</v>
      </c>
      <c r="H10" s="17">
        <f t="shared" si="1"/>
        <v>31.86</v>
      </c>
      <c r="I10" s="16">
        <f t="shared" si="2"/>
        <v>0.13200000000000001</v>
      </c>
      <c r="J10" s="16">
        <f>ROUND(G10/59420-1,2)</f>
        <v>-0.08</v>
      </c>
    </row>
    <row r="11" spans="1:10" x14ac:dyDescent="0.25">
      <c r="A11" s="1" t="s">
        <v>16</v>
      </c>
      <c r="B11" s="1" t="s">
        <v>24</v>
      </c>
      <c r="C11" s="11">
        <v>47880</v>
      </c>
      <c r="D11" s="11"/>
      <c r="E11" s="11">
        <v>4340</v>
      </c>
      <c r="F11" s="11"/>
      <c r="G11" s="11">
        <f t="shared" si="0"/>
        <v>52220</v>
      </c>
      <c r="H11" s="17">
        <f t="shared" si="1"/>
        <v>30.45</v>
      </c>
      <c r="I11" s="16">
        <f t="shared" si="2"/>
        <v>0.126</v>
      </c>
      <c r="J11" s="16">
        <f>ROUND(G11/51760-1,2)</f>
        <v>0.01</v>
      </c>
    </row>
    <row r="12" spans="1:10" x14ac:dyDescent="0.25">
      <c r="A12" s="1" t="s">
        <v>16</v>
      </c>
      <c r="B12" s="1" t="s">
        <v>26</v>
      </c>
      <c r="C12" s="11">
        <v>115160</v>
      </c>
      <c r="D12" s="11"/>
      <c r="E12" s="11"/>
      <c r="F12" s="11">
        <v>80</v>
      </c>
      <c r="G12" s="11">
        <f t="shared" si="0"/>
        <v>115240</v>
      </c>
      <c r="H12" s="17">
        <f t="shared" si="1"/>
        <v>67.2</v>
      </c>
      <c r="I12" s="16">
        <f t="shared" si="2"/>
        <v>0.27800000000000002</v>
      </c>
      <c r="J12" s="16">
        <f>ROUND(G12/109960-1,2)</f>
        <v>0.05</v>
      </c>
    </row>
    <row r="13" spans="1:10" x14ac:dyDescent="0.25">
      <c r="A13" s="1" t="s">
        <v>16</v>
      </c>
      <c r="B13" s="1" t="s">
        <v>34</v>
      </c>
      <c r="C13" s="11"/>
      <c r="D13" s="11">
        <v>59</v>
      </c>
      <c r="E13" s="11">
        <v>171</v>
      </c>
      <c r="F13" s="11"/>
      <c r="G13" s="11">
        <f t="shared" si="0"/>
        <v>230</v>
      </c>
      <c r="H13" s="17">
        <f t="shared" si="1"/>
        <v>0.13</v>
      </c>
      <c r="I13" s="16">
        <f t="shared" si="2"/>
        <v>1E-3</v>
      </c>
      <c r="J13" s="16">
        <f>ROUND(G13/203-1,2)</f>
        <v>0.13</v>
      </c>
    </row>
    <row r="14" spans="1:10" x14ac:dyDescent="0.25">
      <c r="A14" s="1" t="s">
        <v>16</v>
      </c>
      <c r="B14" s="1" t="s">
        <v>36</v>
      </c>
      <c r="C14" s="11"/>
      <c r="D14" s="11"/>
      <c r="E14" s="11"/>
      <c r="F14" s="11"/>
      <c r="G14" s="11">
        <f t="shared" si="0"/>
        <v>0</v>
      </c>
      <c r="H14" s="17">
        <f t="shared" si="1"/>
        <v>0</v>
      </c>
      <c r="I14" s="16">
        <f t="shared" si="2"/>
        <v>0</v>
      </c>
      <c r="J14" s="16">
        <f>ROUND(G14/50-1,2)</f>
        <v>-1</v>
      </c>
    </row>
    <row r="15" spans="1:10" x14ac:dyDescent="0.25">
      <c r="A15" s="1" t="s">
        <v>16</v>
      </c>
      <c r="B15" s="1" t="s">
        <v>23</v>
      </c>
      <c r="C15" s="11"/>
      <c r="D15" s="11"/>
      <c r="E15" s="11"/>
      <c r="F15" s="11"/>
      <c r="G15" s="11">
        <f t="shared" si="0"/>
        <v>0</v>
      </c>
      <c r="H15" s="17">
        <f t="shared" si="1"/>
        <v>0</v>
      </c>
      <c r="I15" s="16">
        <f t="shared" si="2"/>
        <v>0</v>
      </c>
      <c r="J15" s="16"/>
    </row>
    <row r="16" spans="1:10" x14ac:dyDescent="0.25">
      <c r="A16" s="1" t="s">
        <v>45</v>
      </c>
      <c r="B16" s="1" t="s">
        <v>46</v>
      </c>
      <c r="C16" s="11">
        <v>134240</v>
      </c>
      <c r="D16" s="11"/>
      <c r="E16" s="11"/>
      <c r="F16" s="11"/>
      <c r="G16" s="11">
        <f t="shared" si="0"/>
        <v>134240</v>
      </c>
      <c r="H16" s="17">
        <f t="shared" si="1"/>
        <v>78.27</v>
      </c>
      <c r="I16" s="16">
        <f t="shared" si="2"/>
        <v>0.32400000000000001</v>
      </c>
      <c r="J16" s="16">
        <f>ROUND(G16/135920-1,2)</f>
        <v>-0.01</v>
      </c>
    </row>
    <row r="17" spans="1:10" x14ac:dyDescent="0.25">
      <c r="A17" s="1" t="s">
        <v>45</v>
      </c>
      <c r="B17" s="1" t="s">
        <v>48</v>
      </c>
      <c r="C17" s="11"/>
      <c r="D17" s="11"/>
      <c r="E17" s="11"/>
      <c r="F17" s="11">
        <v>14580</v>
      </c>
      <c r="G17" s="11">
        <f t="shared" si="0"/>
        <v>14580</v>
      </c>
      <c r="H17" s="17">
        <f t="shared" si="1"/>
        <v>8.5</v>
      </c>
      <c r="I17" s="16">
        <f t="shared" si="2"/>
        <v>3.5000000000000003E-2</v>
      </c>
      <c r="J17" s="16">
        <f>ROUND(G17/14020-1,2)</f>
        <v>0.04</v>
      </c>
    </row>
    <row r="18" spans="1:10" x14ac:dyDescent="0.25">
      <c r="A18" s="1" t="s">
        <v>49</v>
      </c>
      <c r="B18" s="1" t="s">
        <v>52</v>
      </c>
      <c r="C18" s="11"/>
      <c r="D18" s="11"/>
      <c r="E18" s="11"/>
      <c r="F18" s="11"/>
      <c r="G18" s="11">
        <f t="shared" si="0"/>
        <v>0</v>
      </c>
      <c r="H18" s="17">
        <f t="shared" si="1"/>
        <v>0</v>
      </c>
      <c r="I18" s="16">
        <f t="shared" si="2"/>
        <v>0</v>
      </c>
      <c r="J18" s="16"/>
    </row>
    <row r="19" spans="1:10" x14ac:dyDescent="0.25">
      <c r="A19" s="26" t="s">
        <v>12</v>
      </c>
      <c r="B19" s="26"/>
      <c r="C19" s="12">
        <f t="shared" ref="C19:H19" si="3">SUM(C8:C18)</f>
        <v>395670</v>
      </c>
      <c r="D19" s="12">
        <f t="shared" si="3"/>
        <v>59</v>
      </c>
      <c r="E19" s="12">
        <f t="shared" si="3"/>
        <v>4511</v>
      </c>
      <c r="F19" s="12">
        <f t="shared" si="3"/>
        <v>14660</v>
      </c>
      <c r="G19" s="12">
        <f t="shared" si="3"/>
        <v>414900</v>
      </c>
      <c r="H19" s="15">
        <f t="shared" si="3"/>
        <v>241.92000000000002</v>
      </c>
      <c r="I19" s="18"/>
      <c r="J19" s="18"/>
    </row>
    <row r="20" spans="1:10" x14ac:dyDescent="0.25">
      <c r="A20" s="26" t="s">
        <v>14</v>
      </c>
      <c r="B20" s="26"/>
      <c r="C20" s="13">
        <f>ROUND(C19/G19,2)</f>
        <v>0.95</v>
      </c>
      <c r="D20" s="13">
        <f>ROUND(D19/G19,2)</f>
        <v>0</v>
      </c>
      <c r="E20" s="13">
        <f>ROUND(E19/G19,2)</f>
        <v>0.01</v>
      </c>
      <c r="F20" s="13">
        <f>ROUND(F19/G19,2)</f>
        <v>0.04</v>
      </c>
      <c r="G20" s="14"/>
      <c r="H20" s="14"/>
      <c r="I20" s="18"/>
      <c r="J20" s="18"/>
    </row>
    <row r="21" spans="1:10" x14ac:dyDescent="0.25">
      <c r="A21" s="2" t="s">
        <v>53</v>
      </c>
      <c r="B21" s="2"/>
      <c r="C21" s="14"/>
      <c r="D21" s="14"/>
      <c r="E21" s="14"/>
      <c r="F21" s="14"/>
      <c r="G21" s="14"/>
      <c r="H21" s="14"/>
      <c r="I21" s="18"/>
      <c r="J21" s="18"/>
    </row>
    <row r="22" spans="1:10" x14ac:dyDescent="0.25">
      <c r="C22" s="9"/>
      <c r="D22" s="9"/>
      <c r="E22" s="9"/>
      <c r="F22" s="9"/>
      <c r="G22" s="9"/>
      <c r="H22" s="9"/>
      <c r="I22" s="10"/>
      <c r="J22" s="10"/>
    </row>
    <row r="23" spans="1:10" x14ac:dyDescent="0.25">
      <c r="C23" s="9"/>
      <c r="D23" s="9"/>
      <c r="E23" s="9"/>
      <c r="F23" s="9"/>
      <c r="G23" s="9"/>
      <c r="H23" s="9"/>
      <c r="I23" s="10"/>
      <c r="J23" s="10"/>
    </row>
    <row r="24" spans="1:10" x14ac:dyDescent="0.25">
      <c r="C24" s="9"/>
      <c r="D24" s="9"/>
      <c r="E24" s="9"/>
      <c r="F24" s="9"/>
      <c r="G24" s="9"/>
      <c r="H24" s="9"/>
      <c r="I24" s="10"/>
      <c r="J24" s="10"/>
    </row>
    <row r="25" spans="1:10" x14ac:dyDescent="0.25">
      <c r="A25" s="26" t="s">
        <v>54</v>
      </c>
      <c r="B25" s="26"/>
      <c r="C25" s="12" t="s">
        <v>8</v>
      </c>
      <c r="D25" s="12" t="s">
        <v>9</v>
      </c>
      <c r="E25" s="12" t="s">
        <v>10</v>
      </c>
      <c r="F25" s="12" t="s">
        <v>11</v>
      </c>
      <c r="G25" s="12" t="s">
        <v>12</v>
      </c>
      <c r="H25" s="15" t="s">
        <v>13</v>
      </c>
      <c r="I25" s="18"/>
      <c r="J25" s="18"/>
    </row>
    <row r="26" spans="1:10" x14ac:dyDescent="0.25">
      <c r="A26" s="21" t="s">
        <v>55</v>
      </c>
      <c r="B26" s="21"/>
      <c r="C26" s="11">
        <v>261430</v>
      </c>
      <c r="D26" s="11">
        <v>59</v>
      </c>
      <c r="E26" s="11">
        <v>4511</v>
      </c>
      <c r="F26" s="11">
        <v>80</v>
      </c>
      <c r="G26" s="11">
        <f>SUM(C26:F26)</f>
        <v>266080</v>
      </c>
      <c r="H26" s="17">
        <f>ROUND(G26/1715,2)</f>
        <v>155.15</v>
      </c>
      <c r="I26" s="10"/>
      <c r="J26" s="10"/>
    </row>
    <row r="27" spans="1:10" x14ac:dyDescent="0.25">
      <c r="A27" s="21" t="s">
        <v>56</v>
      </c>
      <c r="B27" s="21"/>
      <c r="C27" s="11">
        <v>134240</v>
      </c>
      <c r="D27" s="11">
        <v>0</v>
      </c>
      <c r="E27" s="11">
        <v>0</v>
      </c>
      <c r="F27" s="11">
        <v>14580</v>
      </c>
      <c r="G27" s="11">
        <f>SUM(C27:F27)</f>
        <v>148820</v>
      </c>
      <c r="H27" s="17">
        <f>ROUND(G27/1715,2)</f>
        <v>86.78</v>
      </c>
      <c r="I27" s="10"/>
      <c r="J27" s="10"/>
    </row>
    <row r="28" spans="1:10" x14ac:dyDescent="0.25">
      <c r="A28" s="21" t="s">
        <v>57</v>
      </c>
      <c r="B28" s="21"/>
      <c r="C28" s="11">
        <v>0</v>
      </c>
      <c r="D28" s="11">
        <v>0</v>
      </c>
      <c r="E28" s="11">
        <v>0</v>
      </c>
      <c r="F28" s="11">
        <v>0</v>
      </c>
      <c r="G28" s="11">
        <f>SUM(C28:F28)</f>
        <v>0</v>
      </c>
      <c r="H28" s="17">
        <f>ROUND(G28/1715,2)</f>
        <v>0</v>
      </c>
      <c r="I28" s="10"/>
      <c r="J28" s="10"/>
    </row>
    <row r="29" spans="1:10" x14ac:dyDescent="0.25">
      <c r="C29" s="9"/>
      <c r="D29" s="9"/>
      <c r="E29" s="9"/>
      <c r="F29" s="9"/>
      <c r="G29" s="9"/>
      <c r="H29" s="9"/>
      <c r="I29" s="10"/>
      <c r="J29" s="10"/>
    </row>
    <row r="30" spans="1:10" x14ac:dyDescent="0.25">
      <c r="C30" s="9"/>
      <c r="D30" s="9"/>
      <c r="E30" s="9"/>
      <c r="F30" s="9"/>
      <c r="G30" s="9"/>
      <c r="H30" s="9"/>
      <c r="I30" s="10"/>
      <c r="J30" s="10"/>
    </row>
    <row r="31" spans="1:10" x14ac:dyDescent="0.25">
      <c r="C31" s="9"/>
      <c r="D31" s="9"/>
      <c r="E31" s="9"/>
      <c r="F31" s="9"/>
      <c r="G31" s="9"/>
      <c r="H31" s="9"/>
      <c r="I31" s="10"/>
      <c r="J31" s="10"/>
    </row>
    <row r="32" spans="1:10" x14ac:dyDescent="0.25">
      <c r="C32" s="9"/>
      <c r="D32" s="9"/>
      <c r="E32" s="9"/>
      <c r="F32" s="9"/>
      <c r="G32" s="9"/>
      <c r="H32" s="9"/>
      <c r="I32" s="10"/>
      <c r="J32" s="10"/>
    </row>
    <row r="33" spans="1:10" x14ac:dyDescent="0.25">
      <c r="A33" s="26" t="s">
        <v>58</v>
      </c>
      <c r="B33" s="26"/>
      <c r="C33" s="15" t="s">
        <v>2</v>
      </c>
      <c r="D33" s="15">
        <v>2024</v>
      </c>
      <c r="E33" s="15" t="s">
        <v>60</v>
      </c>
      <c r="F33" s="14"/>
      <c r="G33" s="15" t="s">
        <v>61</v>
      </c>
      <c r="H33" s="15" t="s">
        <v>2</v>
      </c>
      <c r="I33" s="13" t="s">
        <v>62</v>
      </c>
      <c r="J33" s="13" t="s">
        <v>60</v>
      </c>
    </row>
    <row r="34" spans="1:10" x14ac:dyDescent="0.25">
      <c r="A34" s="21" t="s">
        <v>59</v>
      </c>
      <c r="B34" s="21"/>
      <c r="C34" s="16">
        <f>ROUND(0.6765, 4)</f>
        <v>0.67649999999999999</v>
      </c>
      <c r="D34" s="16">
        <f>ROUND(0.6682, 4)</f>
        <v>0.66820000000000002</v>
      </c>
      <c r="E34" s="16">
        <f>ROUND(0.7856, 4)</f>
        <v>0.78559999999999997</v>
      </c>
      <c r="F34" s="9"/>
      <c r="G34" s="15" t="s">
        <v>63</v>
      </c>
      <c r="H34" s="27" t="s">
        <v>64</v>
      </c>
      <c r="I34" s="24" t="s">
        <v>65</v>
      </c>
      <c r="J34" s="24" t="s">
        <v>66</v>
      </c>
    </row>
    <row r="35" spans="1:10" x14ac:dyDescent="0.25">
      <c r="A35" s="21" t="s">
        <v>67</v>
      </c>
      <c r="B35" s="21"/>
      <c r="C35" s="16">
        <f>ROUND(0.6765, 4)</f>
        <v>0.67649999999999999</v>
      </c>
      <c r="D35" s="16">
        <f>ROUND(0.6545, 4)</f>
        <v>0.65449999999999997</v>
      </c>
      <c r="E35" s="16">
        <f>ROUND(0.7702, 4)</f>
        <v>0.7702</v>
      </c>
      <c r="F35" s="9"/>
      <c r="G35" s="15" t="s">
        <v>68</v>
      </c>
      <c r="H35" s="28"/>
      <c r="I35" s="25"/>
      <c r="J35" s="25"/>
    </row>
    <row r="36" spans="1:10" x14ac:dyDescent="0.25">
      <c r="C36" s="9"/>
      <c r="D36" s="9"/>
      <c r="E36" s="9"/>
      <c r="F36" s="9"/>
      <c r="G36" s="9"/>
      <c r="H36" s="9"/>
      <c r="I36" s="10"/>
      <c r="J36" s="10"/>
    </row>
    <row r="37" spans="1:10" x14ac:dyDescent="0.25">
      <c r="C37" s="9"/>
      <c r="D37" s="9"/>
      <c r="E37" s="9"/>
      <c r="F37" s="9"/>
      <c r="G37" s="9"/>
      <c r="H37" s="9"/>
      <c r="I37" s="10"/>
      <c r="J37" s="10"/>
    </row>
    <row r="38" spans="1:10" x14ac:dyDescent="0.25">
      <c r="C38" s="9"/>
      <c r="D38" s="9"/>
      <c r="E38" s="9"/>
      <c r="F38" s="9"/>
      <c r="G38" s="9"/>
      <c r="H38" s="9"/>
      <c r="I38" s="10"/>
      <c r="J38" s="10"/>
    </row>
    <row r="39" spans="1:10" x14ac:dyDescent="0.25">
      <c r="A39" s="26" t="s">
        <v>69</v>
      </c>
      <c r="B39" s="26"/>
      <c r="C39" s="15" t="s">
        <v>2</v>
      </c>
      <c r="D39" s="15" t="s">
        <v>338</v>
      </c>
      <c r="E39" s="15" t="s">
        <v>71</v>
      </c>
      <c r="F39" s="15" t="s">
        <v>72</v>
      </c>
      <c r="G39" s="15" t="s">
        <v>73</v>
      </c>
      <c r="H39" s="14"/>
      <c r="I39" s="18"/>
      <c r="J39" s="18"/>
    </row>
    <row r="40" spans="1:10" x14ac:dyDescent="0.25">
      <c r="A40" s="21" t="s">
        <v>74</v>
      </c>
      <c r="B40" s="21"/>
      <c r="C40" s="17">
        <v>78.27</v>
      </c>
      <c r="D40" s="17">
        <v>75.25</v>
      </c>
      <c r="E40" s="17">
        <v>96.15</v>
      </c>
      <c r="F40" s="17">
        <v>57.94</v>
      </c>
      <c r="G40" s="17">
        <f>12/12*C40</f>
        <v>78.27</v>
      </c>
      <c r="H40" s="9"/>
      <c r="I40" s="10"/>
      <c r="J40" s="10"/>
    </row>
    <row r="41" spans="1:10" x14ac:dyDescent="0.25">
      <c r="A41" s="21" t="s">
        <v>75</v>
      </c>
      <c r="B41" s="21"/>
      <c r="C41" s="17">
        <v>67.2</v>
      </c>
      <c r="D41" s="17">
        <v>72.239999999999995</v>
      </c>
      <c r="E41" s="17">
        <v>62.28</v>
      </c>
      <c r="F41" s="17">
        <v>66.599999999999994</v>
      </c>
      <c r="G41" s="17">
        <f>12/12*C41</f>
        <v>67.2</v>
      </c>
      <c r="H41" s="9"/>
      <c r="I41" s="10"/>
      <c r="J41" s="10"/>
    </row>
    <row r="42" spans="1:10" x14ac:dyDescent="0.25">
      <c r="A42" s="21" t="s">
        <v>76</v>
      </c>
      <c r="B42" s="21"/>
      <c r="C42" s="17">
        <v>155.15</v>
      </c>
      <c r="D42" s="17">
        <v>170.1</v>
      </c>
      <c r="E42" s="17">
        <v>300.02</v>
      </c>
      <c r="F42" s="17">
        <v>295.08</v>
      </c>
      <c r="G42" s="17">
        <f>12/12*C42</f>
        <v>155.15</v>
      </c>
      <c r="H42" s="9"/>
      <c r="I42" s="10"/>
      <c r="J42" s="10"/>
    </row>
    <row r="43" spans="1:10" x14ac:dyDescent="0.25">
      <c r="A43" s="21" t="s">
        <v>77</v>
      </c>
      <c r="B43" s="21"/>
      <c r="C43" s="17">
        <v>86.78</v>
      </c>
      <c r="D43" s="17">
        <v>84.53</v>
      </c>
      <c r="E43" s="17">
        <v>120.96</v>
      </c>
      <c r="F43" s="17">
        <v>83.12</v>
      </c>
      <c r="G43" s="17">
        <f>12/12*C43</f>
        <v>86.78</v>
      </c>
      <c r="H43" s="9"/>
      <c r="I43" s="10"/>
      <c r="J43" s="10"/>
    </row>
    <row r="44" spans="1:10" x14ac:dyDescent="0.25">
      <c r="C44" s="9"/>
      <c r="D44" s="9"/>
      <c r="E44" s="9"/>
      <c r="F44" s="9"/>
      <c r="G44" s="9"/>
      <c r="H44" s="9"/>
      <c r="I44" s="10"/>
      <c r="J44" s="10"/>
    </row>
    <row r="45" spans="1:10" x14ac:dyDescent="0.25">
      <c r="C45" s="9"/>
      <c r="D45" s="9"/>
      <c r="E45" s="9"/>
      <c r="F45" s="9"/>
      <c r="G45" s="9"/>
      <c r="H45" s="9"/>
      <c r="I45" s="10"/>
      <c r="J45" s="10"/>
    </row>
    <row r="46" spans="1:10" x14ac:dyDescent="0.25">
      <c r="A46" s="22" t="s">
        <v>61</v>
      </c>
      <c r="B46" s="23"/>
      <c r="C46" s="9"/>
      <c r="D46" s="9"/>
      <c r="E46" s="9"/>
      <c r="F46" s="9"/>
      <c r="G46" s="9"/>
      <c r="H46" s="9"/>
      <c r="I46" s="10"/>
      <c r="J46" s="10"/>
    </row>
    <row r="47" spans="1:10" x14ac:dyDescent="0.25">
      <c r="A47" s="3" t="s">
        <v>78</v>
      </c>
      <c r="B47" s="1" t="s">
        <v>339</v>
      </c>
      <c r="C47" s="9"/>
      <c r="D47" s="9"/>
      <c r="E47" s="9"/>
      <c r="F47" s="9"/>
      <c r="G47" s="9"/>
      <c r="H47" s="9"/>
      <c r="I47" s="10"/>
      <c r="J47" s="10"/>
    </row>
    <row r="48" spans="1:10" x14ac:dyDescent="0.25">
      <c r="A48" s="3" t="s">
        <v>71</v>
      </c>
      <c r="B48" s="1" t="s">
        <v>80</v>
      </c>
      <c r="C48" s="9"/>
      <c r="D48" s="9"/>
      <c r="E48" s="9"/>
      <c r="F48" s="9"/>
      <c r="G48" s="9"/>
      <c r="H48" s="9"/>
      <c r="I48" s="10"/>
      <c r="J48" s="10"/>
    </row>
    <row r="49" spans="1:10" x14ac:dyDescent="0.25">
      <c r="A49" s="3" t="s">
        <v>72</v>
      </c>
      <c r="B49" s="1" t="s">
        <v>81</v>
      </c>
      <c r="C49" s="9"/>
      <c r="D49" s="9"/>
      <c r="E49" s="9"/>
      <c r="F49" s="9"/>
      <c r="G49" s="9"/>
      <c r="H49" s="9"/>
      <c r="I49" s="10"/>
      <c r="J49" s="10"/>
    </row>
    <row r="50" spans="1:10" x14ac:dyDescent="0.25">
      <c r="A50" s="3" t="s">
        <v>73</v>
      </c>
      <c r="B50" s="1" t="s">
        <v>82</v>
      </c>
      <c r="C50" s="9"/>
      <c r="D50" s="9"/>
      <c r="E50" s="9"/>
      <c r="F50" s="9"/>
      <c r="G50" s="9"/>
      <c r="H50" s="9"/>
      <c r="I50" s="10"/>
      <c r="J50" s="10"/>
    </row>
    <row r="51" spans="1:10" x14ac:dyDescent="0.25">
      <c r="C51" s="9"/>
      <c r="D51" s="9"/>
      <c r="E51" s="9"/>
      <c r="F51" s="9"/>
      <c r="G51" s="9"/>
      <c r="H51" s="9"/>
      <c r="I51" s="10"/>
      <c r="J51" s="10"/>
    </row>
    <row r="52" spans="1:10" x14ac:dyDescent="0.25">
      <c r="C52" s="9"/>
      <c r="D52" s="9"/>
      <c r="E52" s="9"/>
      <c r="F52" s="9"/>
      <c r="G52" s="9"/>
      <c r="H52" s="9"/>
      <c r="I52" s="10"/>
      <c r="J52" s="10"/>
    </row>
    <row r="53" spans="1:10" x14ac:dyDescent="0.25">
      <c r="C53" s="9"/>
      <c r="D53" s="9"/>
      <c r="E53" s="9"/>
      <c r="F53" s="9"/>
      <c r="G53" s="9"/>
      <c r="H53" s="9"/>
      <c r="I53" s="10"/>
      <c r="J53" s="10"/>
    </row>
    <row r="54" spans="1:10" x14ac:dyDescent="0.25">
      <c r="C54" s="9"/>
      <c r="D54" s="9"/>
      <c r="E54" s="9"/>
      <c r="F54" s="9"/>
      <c r="G54" s="9"/>
      <c r="H54" s="9"/>
      <c r="I54" s="10"/>
      <c r="J54" s="10"/>
    </row>
    <row r="55" spans="1:10" x14ac:dyDescent="0.25">
      <c r="C55" s="9"/>
      <c r="D55" s="9"/>
      <c r="E55" s="9"/>
      <c r="F55" s="9"/>
      <c r="G55" s="9"/>
      <c r="H55" s="9"/>
      <c r="I55" s="10"/>
      <c r="J55" s="10"/>
    </row>
    <row r="56" spans="1:10" x14ac:dyDescent="0.25">
      <c r="C56" s="9"/>
      <c r="D56" s="9"/>
      <c r="E56" s="9"/>
      <c r="F56" s="9"/>
      <c r="G56" s="9"/>
      <c r="H56" s="9"/>
      <c r="I56" s="10"/>
      <c r="J56" s="10"/>
    </row>
    <row r="57" spans="1:10" x14ac:dyDescent="0.25">
      <c r="C57" s="9"/>
      <c r="D57" s="9"/>
      <c r="E57" s="9"/>
      <c r="F57" s="9"/>
      <c r="G57" s="9"/>
      <c r="H57" s="9"/>
      <c r="I57" s="10"/>
      <c r="J57" s="10"/>
    </row>
    <row r="58" spans="1:10" x14ac:dyDescent="0.25">
      <c r="C58" s="9"/>
      <c r="D58" s="9"/>
      <c r="E58" s="9"/>
      <c r="F58" s="9"/>
      <c r="G58" s="9"/>
      <c r="H58" s="9"/>
      <c r="I58" s="10"/>
      <c r="J58" s="10"/>
    </row>
    <row r="59" spans="1:10" x14ac:dyDescent="0.25">
      <c r="C59" s="9"/>
      <c r="D59" s="9"/>
      <c r="E59" s="9"/>
      <c r="F59" s="9"/>
      <c r="G59" s="9"/>
      <c r="H59" s="9"/>
      <c r="I59" s="10"/>
      <c r="J59" s="10"/>
    </row>
    <row r="60" spans="1:10" x14ac:dyDescent="0.25">
      <c r="C60" s="9"/>
      <c r="D60" s="9"/>
      <c r="E60" s="9"/>
      <c r="F60" s="9"/>
      <c r="G60" s="9"/>
      <c r="H60" s="9"/>
      <c r="I60" s="10"/>
      <c r="J60" s="10"/>
    </row>
    <row r="61" spans="1:10" x14ac:dyDescent="0.25">
      <c r="C61" s="9"/>
      <c r="D61" s="9"/>
      <c r="E61" s="9"/>
      <c r="F61" s="9"/>
      <c r="G61" s="9"/>
      <c r="H61" s="9"/>
      <c r="I61" s="10"/>
      <c r="J61" s="10"/>
    </row>
    <row r="62" spans="1:10" x14ac:dyDescent="0.25">
      <c r="C62" s="9"/>
      <c r="D62" s="9"/>
      <c r="E62" s="9"/>
      <c r="F62" s="9"/>
      <c r="G62" s="9"/>
      <c r="H62" s="9"/>
      <c r="I62" s="10"/>
      <c r="J62" s="10"/>
    </row>
    <row r="63" spans="1:10" x14ac:dyDescent="0.25">
      <c r="C63" s="9"/>
      <c r="D63" s="9"/>
      <c r="E63" s="9"/>
      <c r="F63" s="9"/>
      <c r="G63" s="9"/>
      <c r="H63" s="9"/>
      <c r="I63" s="10"/>
      <c r="J63" s="10"/>
    </row>
    <row r="64" spans="1:10" x14ac:dyDescent="0.25">
      <c r="C64" s="9"/>
      <c r="D64" s="9"/>
      <c r="E64" s="9"/>
      <c r="F64" s="9"/>
      <c r="G64" s="9"/>
      <c r="H64" s="9"/>
      <c r="I64" s="10"/>
      <c r="J64" s="10"/>
    </row>
    <row r="65" spans="3:10" x14ac:dyDescent="0.25">
      <c r="C65" s="9"/>
      <c r="D65" s="9"/>
      <c r="E65" s="9"/>
      <c r="F65" s="9"/>
      <c r="G65" s="9"/>
      <c r="H65" s="9"/>
      <c r="I65" s="10"/>
      <c r="J65" s="10"/>
    </row>
    <row r="66" spans="3:10" x14ac:dyDescent="0.25">
      <c r="C66" s="9"/>
      <c r="D66" s="9"/>
      <c r="E66" s="9"/>
      <c r="F66" s="9"/>
      <c r="G66" s="9"/>
      <c r="H66" s="9"/>
      <c r="I66" s="10"/>
      <c r="J66" s="10"/>
    </row>
    <row r="67" spans="3:10" x14ac:dyDescent="0.25">
      <c r="C67" s="9"/>
      <c r="D67" s="9"/>
      <c r="E67" s="9"/>
      <c r="F67" s="9"/>
      <c r="G67" s="9"/>
      <c r="H67" s="9"/>
      <c r="I67" s="10"/>
      <c r="J67" s="10"/>
    </row>
    <row r="68" spans="3:10" x14ac:dyDescent="0.25">
      <c r="C68" s="9"/>
      <c r="D68" s="9"/>
      <c r="E68" s="9"/>
      <c r="F68" s="9"/>
      <c r="G68" s="9"/>
      <c r="H68" s="9"/>
      <c r="I68" s="10"/>
      <c r="J68" s="10"/>
    </row>
    <row r="69" spans="3:10" x14ac:dyDescent="0.25">
      <c r="C69" s="9"/>
      <c r="D69" s="9"/>
      <c r="E69" s="9"/>
      <c r="F69" s="9"/>
      <c r="G69" s="9"/>
      <c r="H69" s="9"/>
      <c r="I69" s="10"/>
      <c r="J69" s="10"/>
    </row>
  </sheetData>
  <mergeCells count="19">
    <mergeCell ref="C7:G7"/>
    <mergeCell ref="A19:B19"/>
    <mergeCell ref="A20:B20"/>
    <mergeCell ref="A25:B25"/>
    <mergeCell ref="A26:B26"/>
    <mergeCell ref="J34:J35"/>
    <mergeCell ref="A35:B35"/>
    <mergeCell ref="A39:B39"/>
    <mergeCell ref="A40:B40"/>
    <mergeCell ref="A27:B27"/>
    <mergeCell ref="A28:B28"/>
    <mergeCell ref="A33:B33"/>
    <mergeCell ref="A34:B34"/>
    <mergeCell ref="H34:H35"/>
    <mergeCell ref="A41:B41"/>
    <mergeCell ref="A42:B42"/>
    <mergeCell ref="A43:B43"/>
    <mergeCell ref="A46:B46"/>
    <mergeCell ref="I34:I35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2:J75"/>
  <sheetViews>
    <sheetView workbookViewId="0">
      <selection activeCell="H5" sqref="H5"/>
    </sheetView>
  </sheetViews>
  <sheetFormatPr defaultRowHeight="15" x14ac:dyDescent="0.25"/>
  <cols>
    <col min="1" max="1" width="28.42578125" bestFit="1" customWidth="1"/>
    <col min="2" max="2" width="59.5703125" bestFit="1" customWidth="1"/>
    <col min="3" max="3" width="12.7109375" bestFit="1" customWidth="1"/>
    <col min="4" max="4" width="31.85546875" bestFit="1" customWidth="1"/>
    <col min="5" max="5" width="13.85546875" bestFit="1" customWidth="1"/>
    <col min="6" max="6" width="8.5703125" bestFit="1" customWidth="1"/>
    <col min="7" max="7" width="47.7109375" bestFit="1" customWidth="1"/>
    <col min="8" max="9" width="16.7109375" bestFit="1" customWidth="1"/>
    <col min="10" max="10" width="24.42578125" bestFit="1" customWidth="1"/>
  </cols>
  <sheetData>
    <row r="2" spans="1:10" ht="18.75" x14ac:dyDescent="0.3">
      <c r="A2" s="3" t="s">
        <v>0</v>
      </c>
      <c r="B2" s="4" t="s">
        <v>340</v>
      </c>
    </row>
    <row r="3" spans="1:10" x14ac:dyDescent="0.25">
      <c r="A3" s="3" t="s">
        <v>2</v>
      </c>
      <c r="B3" s="1" t="s">
        <v>3</v>
      </c>
    </row>
    <row r="4" spans="1:10" x14ac:dyDescent="0.25">
      <c r="A4" s="3" t="s">
        <v>4</v>
      </c>
      <c r="B4" s="20">
        <v>679</v>
      </c>
    </row>
    <row r="7" spans="1:10" x14ac:dyDescent="0.25">
      <c r="C7" s="22" t="s">
        <v>5</v>
      </c>
      <c r="D7" s="21"/>
      <c r="E7" s="21"/>
      <c r="F7" s="21"/>
      <c r="G7" s="21"/>
    </row>
    <row r="8" spans="1:10" x14ac:dyDescent="0.25">
      <c r="A8" s="3" t="s">
        <v>6</v>
      </c>
      <c r="B8" s="3" t="s">
        <v>7</v>
      </c>
      <c r="C8" s="15" t="s">
        <v>8</v>
      </c>
      <c r="D8" s="15" t="s">
        <v>9</v>
      </c>
      <c r="E8" s="15" t="s">
        <v>10</v>
      </c>
      <c r="F8" s="15" t="s">
        <v>11</v>
      </c>
      <c r="G8" s="15" t="s">
        <v>12</v>
      </c>
      <c r="H8" s="15" t="s">
        <v>13</v>
      </c>
      <c r="I8" s="15" t="s">
        <v>14</v>
      </c>
      <c r="J8" s="15" t="s">
        <v>15</v>
      </c>
    </row>
    <row r="9" spans="1:10" x14ac:dyDescent="0.25">
      <c r="A9" s="1" t="s">
        <v>16</v>
      </c>
      <c r="B9" s="1" t="s">
        <v>17</v>
      </c>
      <c r="C9" s="11"/>
      <c r="D9" s="11"/>
      <c r="E9" s="11">
        <v>15</v>
      </c>
      <c r="F9" s="11"/>
      <c r="G9" s="11">
        <f t="shared" ref="G9:G37" si="0">SUM(C9:F9)</f>
        <v>15</v>
      </c>
      <c r="H9" s="17">
        <f t="shared" ref="H9:H37" si="1">ROUND(G9/679,2)</f>
        <v>0.02</v>
      </c>
      <c r="I9" s="16">
        <f t="shared" ref="I9:I37" si="2">ROUND(G9/$G$38,3)</f>
        <v>0</v>
      </c>
      <c r="J9" s="16"/>
    </row>
    <row r="10" spans="1:10" x14ac:dyDescent="0.25">
      <c r="A10" s="1" t="s">
        <v>16</v>
      </c>
      <c r="B10" s="1" t="s">
        <v>19</v>
      </c>
      <c r="C10" s="11">
        <v>18930</v>
      </c>
      <c r="D10" s="11"/>
      <c r="E10" s="11"/>
      <c r="F10" s="11"/>
      <c r="G10" s="11">
        <f t="shared" si="0"/>
        <v>18930</v>
      </c>
      <c r="H10" s="17">
        <f t="shared" si="1"/>
        <v>27.88</v>
      </c>
      <c r="I10" s="16">
        <f t="shared" si="2"/>
        <v>6.9000000000000006E-2</v>
      </c>
      <c r="J10" s="16">
        <f>ROUND(G10/18660-1,2)</f>
        <v>0.01</v>
      </c>
    </row>
    <row r="11" spans="1:10" x14ac:dyDescent="0.25">
      <c r="A11" s="1" t="s">
        <v>16</v>
      </c>
      <c r="B11" s="1" t="s">
        <v>20</v>
      </c>
      <c r="C11" s="11">
        <v>33680</v>
      </c>
      <c r="D11" s="11"/>
      <c r="E11" s="11"/>
      <c r="F11" s="11"/>
      <c r="G11" s="11">
        <f t="shared" si="0"/>
        <v>33680</v>
      </c>
      <c r="H11" s="17">
        <f t="shared" si="1"/>
        <v>49.6</v>
      </c>
      <c r="I11" s="16">
        <f t="shared" si="2"/>
        <v>0.123</v>
      </c>
      <c r="J11" s="16">
        <f>ROUND(G11/40160-1,2)</f>
        <v>-0.16</v>
      </c>
    </row>
    <row r="12" spans="1:10" x14ac:dyDescent="0.25">
      <c r="A12" s="1" t="s">
        <v>16</v>
      </c>
      <c r="B12" s="1" t="s">
        <v>22</v>
      </c>
      <c r="C12" s="11"/>
      <c r="D12" s="11"/>
      <c r="E12" s="11"/>
      <c r="F12" s="11">
        <v>1400</v>
      </c>
      <c r="G12" s="11">
        <f t="shared" si="0"/>
        <v>1400</v>
      </c>
      <c r="H12" s="17">
        <f t="shared" si="1"/>
        <v>2.06</v>
      </c>
      <c r="I12" s="16">
        <f t="shared" si="2"/>
        <v>5.0000000000000001E-3</v>
      </c>
      <c r="J12" s="16"/>
    </row>
    <row r="13" spans="1:10" x14ac:dyDescent="0.25">
      <c r="A13" s="1" t="s">
        <v>16</v>
      </c>
      <c r="B13" s="1" t="s">
        <v>23</v>
      </c>
      <c r="C13" s="11"/>
      <c r="D13" s="11"/>
      <c r="E13" s="11">
        <v>29660</v>
      </c>
      <c r="F13" s="11"/>
      <c r="G13" s="11">
        <f t="shared" si="0"/>
        <v>29660</v>
      </c>
      <c r="H13" s="17">
        <f t="shared" si="1"/>
        <v>43.68</v>
      </c>
      <c r="I13" s="16">
        <f t="shared" si="2"/>
        <v>0.108</v>
      </c>
      <c r="J13" s="16">
        <f>ROUND(G13/35690-1,2)</f>
        <v>-0.17</v>
      </c>
    </row>
    <row r="14" spans="1:10" x14ac:dyDescent="0.25">
      <c r="A14" s="1" t="s">
        <v>16</v>
      </c>
      <c r="B14" s="1" t="s">
        <v>24</v>
      </c>
      <c r="C14" s="11">
        <v>17010</v>
      </c>
      <c r="D14" s="11"/>
      <c r="E14" s="11"/>
      <c r="F14" s="11"/>
      <c r="G14" s="11">
        <f t="shared" si="0"/>
        <v>17010</v>
      </c>
      <c r="H14" s="17">
        <f t="shared" si="1"/>
        <v>25.05</v>
      </c>
      <c r="I14" s="16">
        <f t="shared" si="2"/>
        <v>6.2E-2</v>
      </c>
      <c r="J14" s="16">
        <f>ROUND(G14/19510-1,2)</f>
        <v>-0.13</v>
      </c>
    </row>
    <row r="15" spans="1:10" x14ac:dyDescent="0.25">
      <c r="A15" s="1" t="s">
        <v>16</v>
      </c>
      <c r="B15" s="1" t="s">
        <v>25</v>
      </c>
      <c r="C15" s="11"/>
      <c r="D15" s="11"/>
      <c r="E15" s="11">
        <v>1920</v>
      </c>
      <c r="F15" s="11"/>
      <c r="G15" s="11">
        <f t="shared" si="0"/>
        <v>1920</v>
      </c>
      <c r="H15" s="17">
        <f t="shared" si="1"/>
        <v>2.83</v>
      </c>
      <c r="I15" s="16">
        <f t="shared" si="2"/>
        <v>7.0000000000000001E-3</v>
      </c>
      <c r="J15" s="16">
        <f>ROUND(G15/680-1,2)</f>
        <v>1.82</v>
      </c>
    </row>
    <row r="16" spans="1:10" x14ac:dyDescent="0.25">
      <c r="A16" s="1" t="s">
        <v>16</v>
      </c>
      <c r="B16" s="1" t="s">
        <v>26</v>
      </c>
      <c r="C16" s="11">
        <v>20940</v>
      </c>
      <c r="D16" s="11"/>
      <c r="E16" s="11"/>
      <c r="F16" s="11"/>
      <c r="G16" s="11">
        <f t="shared" si="0"/>
        <v>20940</v>
      </c>
      <c r="H16" s="17">
        <f t="shared" si="1"/>
        <v>30.84</v>
      </c>
      <c r="I16" s="16">
        <f t="shared" si="2"/>
        <v>7.5999999999999998E-2</v>
      </c>
      <c r="J16" s="16">
        <f>ROUND(G16/20360-1,2)</f>
        <v>0.03</v>
      </c>
    </row>
    <row r="17" spans="1:10" x14ac:dyDescent="0.25">
      <c r="A17" s="1" t="s">
        <v>16</v>
      </c>
      <c r="B17" s="1" t="s">
        <v>27</v>
      </c>
      <c r="C17" s="11"/>
      <c r="D17" s="11"/>
      <c r="E17" s="11">
        <v>424</v>
      </c>
      <c r="F17" s="11"/>
      <c r="G17" s="11">
        <f t="shared" si="0"/>
        <v>424</v>
      </c>
      <c r="H17" s="17">
        <f t="shared" si="1"/>
        <v>0.62</v>
      </c>
      <c r="I17" s="16">
        <f t="shared" si="2"/>
        <v>2E-3</v>
      </c>
      <c r="J17" s="16">
        <f>ROUND(G17/535-1,2)</f>
        <v>-0.21</v>
      </c>
    </row>
    <row r="18" spans="1:10" x14ac:dyDescent="0.25">
      <c r="A18" s="1" t="s">
        <v>16</v>
      </c>
      <c r="B18" s="1" t="s">
        <v>28</v>
      </c>
      <c r="C18" s="11"/>
      <c r="D18" s="11"/>
      <c r="E18" s="11">
        <v>221</v>
      </c>
      <c r="F18" s="11"/>
      <c r="G18" s="11">
        <f t="shared" si="0"/>
        <v>221</v>
      </c>
      <c r="H18" s="17">
        <f t="shared" si="1"/>
        <v>0.33</v>
      </c>
      <c r="I18" s="16">
        <f t="shared" si="2"/>
        <v>1E-3</v>
      </c>
      <c r="J18" s="16">
        <f>ROUND(G18/278-1,2)</f>
        <v>-0.21</v>
      </c>
    </row>
    <row r="19" spans="1:10" x14ac:dyDescent="0.25">
      <c r="A19" s="1" t="s">
        <v>16</v>
      </c>
      <c r="B19" s="1" t="s">
        <v>30</v>
      </c>
      <c r="C19" s="11"/>
      <c r="D19" s="11"/>
      <c r="E19" s="11">
        <v>860</v>
      </c>
      <c r="F19" s="11"/>
      <c r="G19" s="11">
        <f t="shared" si="0"/>
        <v>860</v>
      </c>
      <c r="H19" s="17">
        <f t="shared" si="1"/>
        <v>1.27</v>
      </c>
      <c r="I19" s="16">
        <f t="shared" si="2"/>
        <v>3.0000000000000001E-3</v>
      </c>
      <c r="J19" s="16">
        <f>ROUND(G19/1540-1,2)</f>
        <v>-0.44</v>
      </c>
    </row>
    <row r="20" spans="1:10" x14ac:dyDescent="0.25">
      <c r="A20" s="1" t="s">
        <v>16</v>
      </c>
      <c r="B20" s="1" t="s">
        <v>31</v>
      </c>
      <c r="C20" s="11"/>
      <c r="D20" s="11"/>
      <c r="E20" s="11">
        <v>320</v>
      </c>
      <c r="F20" s="11"/>
      <c r="G20" s="11">
        <f t="shared" si="0"/>
        <v>320</v>
      </c>
      <c r="H20" s="17">
        <f t="shared" si="1"/>
        <v>0.47</v>
      </c>
      <c r="I20" s="16">
        <f t="shared" si="2"/>
        <v>1E-3</v>
      </c>
      <c r="J20" s="16"/>
    </row>
    <row r="21" spans="1:10" x14ac:dyDescent="0.25">
      <c r="A21" s="1" t="s">
        <v>16</v>
      </c>
      <c r="B21" s="1" t="s">
        <v>33</v>
      </c>
      <c r="C21" s="11"/>
      <c r="D21" s="11"/>
      <c r="E21" s="11">
        <v>320</v>
      </c>
      <c r="F21" s="11"/>
      <c r="G21" s="11">
        <f t="shared" si="0"/>
        <v>320</v>
      </c>
      <c r="H21" s="17">
        <f t="shared" si="1"/>
        <v>0.47</v>
      </c>
      <c r="I21" s="16">
        <f t="shared" si="2"/>
        <v>1E-3</v>
      </c>
      <c r="J21" s="16">
        <f>ROUND(G21/940-1,2)</f>
        <v>-0.66</v>
      </c>
    </row>
    <row r="22" spans="1:10" x14ac:dyDescent="0.25">
      <c r="A22" s="1" t="s">
        <v>16</v>
      </c>
      <c r="B22" s="1" t="s">
        <v>34</v>
      </c>
      <c r="C22" s="11"/>
      <c r="D22" s="11"/>
      <c r="E22" s="11">
        <v>40</v>
      </c>
      <c r="F22" s="11"/>
      <c r="G22" s="11">
        <f t="shared" si="0"/>
        <v>40</v>
      </c>
      <c r="H22" s="17">
        <f t="shared" si="1"/>
        <v>0.06</v>
      </c>
      <c r="I22" s="16">
        <f t="shared" si="2"/>
        <v>0</v>
      </c>
      <c r="J22" s="16">
        <f>ROUND(G22/57-1,2)</f>
        <v>-0.3</v>
      </c>
    </row>
    <row r="23" spans="1:10" x14ac:dyDescent="0.25">
      <c r="A23" s="1" t="s">
        <v>16</v>
      </c>
      <c r="B23" s="1" t="s">
        <v>37</v>
      </c>
      <c r="C23" s="11"/>
      <c r="D23" s="11"/>
      <c r="E23" s="11">
        <v>900</v>
      </c>
      <c r="F23" s="11"/>
      <c r="G23" s="11">
        <f t="shared" si="0"/>
        <v>900</v>
      </c>
      <c r="H23" s="17">
        <f t="shared" si="1"/>
        <v>1.33</v>
      </c>
      <c r="I23" s="16">
        <f t="shared" si="2"/>
        <v>3.0000000000000001E-3</v>
      </c>
      <c r="J23" s="16">
        <f>ROUND(G23/260-1,2)</f>
        <v>2.46</v>
      </c>
    </row>
    <row r="24" spans="1:10" x14ac:dyDescent="0.25">
      <c r="A24" s="1" t="s">
        <v>16</v>
      </c>
      <c r="B24" s="1" t="s">
        <v>38</v>
      </c>
      <c r="C24" s="11"/>
      <c r="D24" s="11"/>
      <c r="E24" s="11">
        <v>1840</v>
      </c>
      <c r="F24" s="11"/>
      <c r="G24" s="11">
        <f t="shared" si="0"/>
        <v>1840</v>
      </c>
      <c r="H24" s="17">
        <f t="shared" si="1"/>
        <v>2.71</v>
      </c>
      <c r="I24" s="16">
        <f t="shared" si="2"/>
        <v>7.0000000000000001E-3</v>
      </c>
      <c r="J24" s="16">
        <f>ROUND(G24/1842-1,2)</f>
        <v>0</v>
      </c>
    </row>
    <row r="25" spans="1:10" x14ac:dyDescent="0.25">
      <c r="A25" s="1" t="s">
        <v>16</v>
      </c>
      <c r="B25" s="1" t="s">
        <v>39</v>
      </c>
      <c r="C25" s="11"/>
      <c r="D25" s="11"/>
      <c r="E25" s="11">
        <v>3116</v>
      </c>
      <c r="F25" s="11"/>
      <c r="G25" s="11">
        <f t="shared" si="0"/>
        <v>3116</v>
      </c>
      <c r="H25" s="17">
        <f t="shared" si="1"/>
        <v>4.59</v>
      </c>
      <c r="I25" s="16">
        <f t="shared" si="2"/>
        <v>1.0999999999999999E-2</v>
      </c>
      <c r="J25" s="16">
        <f>ROUND(G25/1220-1,2)</f>
        <v>1.55</v>
      </c>
    </row>
    <row r="26" spans="1:10" x14ac:dyDescent="0.25">
      <c r="A26" s="1" t="s">
        <v>16</v>
      </c>
      <c r="B26" s="1" t="s">
        <v>40</v>
      </c>
      <c r="C26" s="11"/>
      <c r="D26" s="11"/>
      <c r="E26" s="11">
        <v>27750</v>
      </c>
      <c r="F26" s="11"/>
      <c r="G26" s="11">
        <f t="shared" si="0"/>
        <v>27750</v>
      </c>
      <c r="H26" s="17">
        <f t="shared" si="1"/>
        <v>40.869999999999997</v>
      </c>
      <c r="I26" s="16">
        <f t="shared" si="2"/>
        <v>0.10100000000000001</v>
      </c>
      <c r="J26" s="16">
        <f>ROUND(G26/22645-1,2)</f>
        <v>0.23</v>
      </c>
    </row>
    <row r="27" spans="1:10" x14ac:dyDescent="0.25">
      <c r="A27" s="1" t="s">
        <v>16</v>
      </c>
      <c r="B27" s="1" t="s">
        <v>42</v>
      </c>
      <c r="C27" s="11"/>
      <c r="D27" s="11"/>
      <c r="E27" s="11">
        <v>18830</v>
      </c>
      <c r="F27" s="11"/>
      <c r="G27" s="11">
        <f t="shared" si="0"/>
        <v>18830</v>
      </c>
      <c r="H27" s="17">
        <f t="shared" si="1"/>
        <v>27.73</v>
      </c>
      <c r="I27" s="16">
        <f t="shared" si="2"/>
        <v>6.9000000000000006E-2</v>
      </c>
      <c r="J27" s="16">
        <f>ROUND(G27/15660-1,2)</f>
        <v>0.2</v>
      </c>
    </row>
    <row r="28" spans="1:10" x14ac:dyDescent="0.25">
      <c r="A28" s="1" t="s">
        <v>16</v>
      </c>
      <c r="B28" s="1" t="s">
        <v>44</v>
      </c>
      <c r="C28" s="11"/>
      <c r="D28" s="11"/>
      <c r="E28" s="11">
        <v>10170</v>
      </c>
      <c r="F28" s="11"/>
      <c r="G28" s="11">
        <f t="shared" si="0"/>
        <v>10170</v>
      </c>
      <c r="H28" s="17">
        <f t="shared" si="1"/>
        <v>14.98</v>
      </c>
      <c r="I28" s="16">
        <f t="shared" si="2"/>
        <v>3.6999999999999998E-2</v>
      </c>
      <c r="J28" s="16">
        <f>ROUND(G28/8060-1,2)</f>
        <v>0.26</v>
      </c>
    </row>
    <row r="29" spans="1:10" x14ac:dyDescent="0.25">
      <c r="A29" s="1" t="s">
        <v>16</v>
      </c>
      <c r="B29" s="1" t="s">
        <v>21</v>
      </c>
      <c r="C29" s="11"/>
      <c r="D29" s="11"/>
      <c r="E29" s="11"/>
      <c r="F29" s="11"/>
      <c r="G29" s="11">
        <f t="shared" si="0"/>
        <v>0</v>
      </c>
      <c r="H29" s="17">
        <f t="shared" si="1"/>
        <v>0</v>
      </c>
      <c r="I29" s="16">
        <f t="shared" si="2"/>
        <v>0</v>
      </c>
      <c r="J29" s="16">
        <f>ROUND(G29/120-1,2)</f>
        <v>-1</v>
      </c>
    </row>
    <row r="30" spans="1:10" x14ac:dyDescent="0.25">
      <c r="A30" s="1" t="s">
        <v>16</v>
      </c>
      <c r="B30" s="1" t="s">
        <v>29</v>
      </c>
      <c r="C30" s="11"/>
      <c r="D30" s="11"/>
      <c r="E30" s="11"/>
      <c r="F30" s="11"/>
      <c r="G30" s="11">
        <f t="shared" si="0"/>
        <v>0</v>
      </c>
      <c r="H30" s="17">
        <f t="shared" si="1"/>
        <v>0</v>
      </c>
      <c r="I30" s="16">
        <f t="shared" si="2"/>
        <v>0</v>
      </c>
      <c r="J30" s="16">
        <f>ROUND(G30/111-1,2)</f>
        <v>-1</v>
      </c>
    </row>
    <row r="31" spans="1:10" x14ac:dyDescent="0.25">
      <c r="A31" s="1" t="s">
        <v>16</v>
      </c>
      <c r="B31" s="1" t="s">
        <v>36</v>
      </c>
      <c r="C31" s="11"/>
      <c r="D31" s="11"/>
      <c r="E31" s="11"/>
      <c r="F31" s="11"/>
      <c r="G31" s="11">
        <f t="shared" si="0"/>
        <v>0</v>
      </c>
      <c r="H31" s="17">
        <f t="shared" si="1"/>
        <v>0</v>
      </c>
      <c r="I31" s="16">
        <f t="shared" si="2"/>
        <v>0</v>
      </c>
      <c r="J31" s="16">
        <f>ROUND(G31/170-1,2)</f>
        <v>-1</v>
      </c>
    </row>
    <row r="32" spans="1:10" x14ac:dyDescent="0.25">
      <c r="A32" s="1" t="s">
        <v>16</v>
      </c>
      <c r="B32" s="1" t="s">
        <v>32</v>
      </c>
      <c r="C32" s="11"/>
      <c r="D32" s="11"/>
      <c r="E32" s="11"/>
      <c r="F32" s="11"/>
      <c r="G32" s="11">
        <f t="shared" si="0"/>
        <v>0</v>
      </c>
      <c r="H32" s="17">
        <f t="shared" si="1"/>
        <v>0</v>
      </c>
      <c r="I32" s="16">
        <f t="shared" si="2"/>
        <v>0</v>
      </c>
      <c r="J32" s="16"/>
    </row>
    <row r="33" spans="1:10" x14ac:dyDescent="0.25">
      <c r="A33" s="1" t="s">
        <v>16</v>
      </c>
      <c r="B33" s="1" t="s">
        <v>41</v>
      </c>
      <c r="C33" s="11"/>
      <c r="D33" s="11"/>
      <c r="E33" s="11"/>
      <c r="F33" s="11"/>
      <c r="G33" s="11">
        <f t="shared" si="0"/>
        <v>0</v>
      </c>
      <c r="H33" s="17">
        <f t="shared" si="1"/>
        <v>0</v>
      </c>
      <c r="I33" s="16">
        <f t="shared" si="2"/>
        <v>0</v>
      </c>
      <c r="J33" s="16"/>
    </row>
    <row r="34" spans="1:10" x14ac:dyDescent="0.25">
      <c r="A34" s="1" t="s">
        <v>45</v>
      </c>
      <c r="B34" s="1" t="s">
        <v>46</v>
      </c>
      <c r="C34" s="11">
        <v>64640</v>
      </c>
      <c r="D34" s="11"/>
      <c r="E34" s="11"/>
      <c r="F34" s="11">
        <v>140</v>
      </c>
      <c r="G34" s="11">
        <f t="shared" si="0"/>
        <v>64780</v>
      </c>
      <c r="H34" s="17">
        <f t="shared" si="1"/>
        <v>95.41</v>
      </c>
      <c r="I34" s="16">
        <f t="shared" si="2"/>
        <v>0.23599999999999999</v>
      </c>
      <c r="J34" s="16">
        <f>ROUND(G34/60910-1,2)</f>
        <v>0.06</v>
      </c>
    </row>
    <row r="35" spans="1:10" x14ac:dyDescent="0.25">
      <c r="A35" s="1" t="s">
        <v>45</v>
      </c>
      <c r="B35" s="1" t="s">
        <v>47</v>
      </c>
      <c r="C35" s="11"/>
      <c r="D35" s="11"/>
      <c r="E35" s="11">
        <v>21460</v>
      </c>
      <c r="F35" s="11"/>
      <c r="G35" s="11">
        <f t="shared" si="0"/>
        <v>21460</v>
      </c>
      <c r="H35" s="17">
        <f t="shared" si="1"/>
        <v>31.61</v>
      </c>
      <c r="I35" s="16">
        <f t="shared" si="2"/>
        <v>7.8E-2</v>
      </c>
      <c r="J35" s="16">
        <f>ROUND(G35/15290-1,2)</f>
        <v>0.4</v>
      </c>
    </row>
    <row r="36" spans="1:10" x14ac:dyDescent="0.25">
      <c r="A36" s="1" t="s">
        <v>45</v>
      </c>
      <c r="B36" s="1" t="s">
        <v>48</v>
      </c>
      <c r="C36" s="11"/>
      <c r="D36" s="11"/>
      <c r="E36" s="11"/>
      <c r="F36" s="11"/>
      <c r="G36" s="11">
        <f t="shared" si="0"/>
        <v>0</v>
      </c>
      <c r="H36" s="17">
        <f t="shared" si="1"/>
        <v>0</v>
      </c>
      <c r="I36" s="16">
        <f t="shared" si="2"/>
        <v>0</v>
      </c>
      <c r="J36" s="16"/>
    </row>
    <row r="37" spans="1:10" x14ac:dyDescent="0.25">
      <c r="A37" s="1" t="s">
        <v>49</v>
      </c>
      <c r="B37" s="1" t="s">
        <v>52</v>
      </c>
      <c r="C37" s="11"/>
      <c r="D37" s="11"/>
      <c r="E37" s="11"/>
      <c r="F37" s="11"/>
      <c r="G37" s="11">
        <f t="shared" si="0"/>
        <v>0</v>
      </c>
      <c r="H37" s="17">
        <f t="shared" si="1"/>
        <v>0</v>
      </c>
      <c r="I37" s="16">
        <f t="shared" si="2"/>
        <v>0</v>
      </c>
      <c r="J37" s="16"/>
    </row>
    <row r="38" spans="1:10" x14ac:dyDescent="0.25">
      <c r="A38" s="26" t="s">
        <v>12</v>
      </c>
      <c r="B38" s="26"/>
      <c r="C38" s="12">
        <f t="shared" ref="C38:H38" si="3">SUM(C8:C37)</f>
        <v>155200</v>
      </c>
      <c r="D38" s="12">
        <f t="shared" si="3"/>
        <v>0</v>
      </c>
      <c r="E38" s="12">
        <f t="shared" si="3"/>
        <v>117846</v>
      </c>
      <c r="F38" s="12">
        <f t="shared" si="3"/>
        <v>1540</v>
      </c>
      <c r="G38" s="12">
        <f t="shared" si="3"/>
        <v>274586</v>
      </c>
      <c r="H38" s="15">
        <f t="shared" si="3"/>
        <v>404.41000000000008</v>
      </c>
      <c r="I38" s="18"/>
      <c r="J38" s="18"/>
    </row>
    <row r="39" spans="1:10" x14ac:dyDescent="0.25">
      <c r="A39" s="26" t="s">
        <v>14</v>
      </c>
      <c r="B39" s="26"/>
      <c r="C39" s="13">
        <f>ROUND(C38/G38,2)</f>
        <v>0.56999999999999995</v>
      </c>
      <c r="D39" s="13">
        <f>ROUND(D38/G38,2)</f>
        <v>0</v>
      </c>
      <c r="E39" s="13">
        <f>ROUND(E38/G38,2)</f>
        <v>0.43</v>
      </c>
      <c r="F39" s="13">
        <f>ROUND(F38/G38,2)</f>
        <v>0.01</v>
      </c>
      <c r="G39" s="14"/>
      <c r="H39" s="14"/>
      <c r="I39" s="18"/>
      <c r="J39" s="18"/>
    </row>
    <row r="40" spans="1:10" x14ac:dyDescent="0.25">
      <c r="A40" s="2" t="s">
        <v>53</v>
      </c>
      <c r="B40" s="2"/>
      <c r="C40" s="14"/>
      <c r="D40" s="14"/>
      <c r="E40" s="14"/>
      <c r="F40" s="14"/>
      <c r="G40" s="14"/>
      <c r="H40" s="14"/>
      <c r="I40" s="18"/>
      <c r="J40" s="18"/>
    </row>
    <row r="41" spans="1:10" x14ac:dyDescent="0.25">
      <c r="C41" s="9"/>
      <c r="D41" s="9"/>
      <c r="E41" s="9"/>
      <c r="F41" s="9"/>
      <c r="G41" s="9"/>
      <c r="H41" s="9"/>
      <c r="I41" s="10"/>
      <c r="J41" s="10"/>
    </row>
    <row r="42" spans="1:10" x14ac:dyDescent="0.25">
      <c r="C42" s="9"/>
      <c r="D42" s="9"/>
      <c r="E42" s="9"/>
      <c r="F42" s="9"/>
      <c r="G42" s="9"/>
      <c r="H42" s="9"/>
      <c r="I42" s="10"/>
      <c r="J42" s="10"/>
    </row>
    <row r="43" spans="1:10" x14ac:dyDescent="0.25">
      <c r="C43" s="9"/>
      <c r="D43" s="9"/>
      <c r="E43" s="9"/>
      <c r="F43" s="9"/>
      <c r="G43" s="9"/>
      <c r="H43" s="9"/>
      <c r="I43" s="10"/>
      <c r="J43" s="10"/>
    </row>
    <row r="44" spans="1:10" x14ac:dyDescent="0.25">
      <c r="A44" s="26" t="s">
        <v>54</v>
      </c>
      <c r="B44" s="26"/>
      <c r="C44" s="12" t="s">
        <v>8</v>
      </c>
      <c r="D44" s="12" t="s">
        <v>9</v>
      </c>
      <c r="E44" s="12" t="s">
        <v>10</v>
      </c>
      <c r="F44" s="12" t="s">
        <v>11</v>
      </c>
      <c r="G44" s="12" t="s">
        <v>12</v>
      </c>
      <c r="H44" s="15" t="s">
        <v>13</v>
      </c>
      <c r="I44" s="18"/>
      <c r="J44" s="18"/>
    </row>
    <row r="45" spans="1:10" x14ac:dyDescent="0.25">
      <c r="A45" s="21" t="s">
        <v>55</v>
      </c>
      <c r="B45" s="21"/>
      <c r="C45" s="11">
        <v>90560</v>
      </c>
      <c r="D45" s="11">
        <v>0</v>
      </c>
      <c r="E45" s="11">
        <v>96386</v>
      </c>
      <c r="F45" s="11">
        <v>1400</v>
      </c>
      <c r="G45" s="11">
        <f>SUM(C45:F45)</f>
        <v>188346</v>
      </c>
      <c r="H45" s="17">
        <f>ROUND(G45/679,2)</f>
        <v>277.39</v>
      </c>
      <c r="I45" s="10"/>
      <c r="J45" s="10"/>
    </row>
    <row r="46" spans="1:10" x14ac:dyDescent="0.25">
      <c r="A46" s="21" t="s">
        <v>56</v>
      </c>
      <c r="B46" s="21"/>
      <c r="C46" s="11">
        <v>64640</v>
      </c>
      <c r="D46" s="11">
        <v>0</v>
      </c>
      <c r="E46" s="11">
        <v>21460</v>
      </c>
      <c r="F46" s="11">
        <v>140</v>
      </c>
      <c r="G46" s="11">
        <f>SUM(C46:F46)</f>
        <v>86240</v>
      </c>
      <c r="H46" s="17">
        <f>ROUND(G46/679,2)</f>
        <v>127.01</v>
      </c>
      <c r="I46" s="10"/>
      <c r="J46" s="10"/>
    </row>
    <row r="47" spans="1:10" x14ac:dyDescent="0.25">
      <c r="A47" s="21" t="s">
        <v>57</v>
      </c>
      <c r="B47" s="21"/>
      <c r="C47" s="11">
        <v>0</v>
      </c>
      <c r="D47" s="11">
        <v>0</v>
      </c>
      <c r="E47" s="11">
        <v>0</v>
      </c>
      <c r="F47" s="11">
        <v>0</v>
      </c>
      <c r="G47" s="11">
        <f>SUM(C47:F47)</f>
        <v>0</v>
      </c>
      <c r="H47" s="17">
        <f>ROUND(G47/679,2)</f>
        <v>0</v>
      </c>
      <c r="I47" s="10"/>
      <c r="J47" s="10"/>
    </row>
    <row r="48" spans="1:10" x14ac:dyDescent="0.25">
      <c r="C48" s="9"/>
      <c r="D48" s="9"/>
      <c r="E48" s="9"/>
      <c r="F48" s="9"/>
      <c r="G48" s="9"/>
      <c r="H48" s="9"/>
      <c r="I48" s="10"/>
      <c r="J48" s="10"/>
    </row>
    <row r="49" spans="1:10" x14ac:dyDescent="0.25">
      <c r="C49" s="9"/>
      <c r="D49" s="9"/>
      <c r="E49" s="9"/>
      <c r="F49" s="9"/>
      <c r="G49" s="9"/>
      <c r="H49" s="9"/>
      <c r="I49" s="10"/>
      <c r="J49" s="10"/>
    </row>
    <row r="50" spans="1:10" x14ac:dyDescent="0.25">
      <c r="C50" s="9"/>
      <c r="D50" s="9"/>
      <c r="E50" s="9"/>
      <c r="F50" s="9"/>
      <c r="G50" s="9"/>
      <c r="H50" s="9"/>
      <c r="I50" s="10"/>
      <c r="J50" s="10"/>
    </row>
    <row r="51" spans="1:10" x14ac:dyDescent="0.25">
      <c r="C51" s="9"/>
      <c r="D51" s="9"/>
      <c r="E51" s="9"/>
      <c r="F51" s="9"/>
      <c r="G51" s="9"/>
      <c r="H51" s="9"/>
      <c r="I51" s="10"/>
      <c r="J51" s="10"/>
    </row>
    <row r="52" spans="1:10" x14ac:dyDescent="0.25">
      <c r="A52" s="26" t="s">
        <v>58</v>
      </c>
      <c r="B52" s="26"/>
      <c r="C52" s="15" t="s">
        <v>2</v>
      </c>
      <c r="D52" s="15">
        <v>2024</v>
      </c>
      <c r="E52" s="15" t="s">
        <v>60</v>
      </c>
      <c r="F52" s="14"/>
      <c r="G52" s="15" t="s">
        <v>61</v>
      </c>
      <c r="H52" s="15" t="s">
        <v>2</v>
      </c>
      <c r="I52" s="13" t="s">
        <v>62</v>
      </c>
      <c r="J52" s="13" t="s">
        <v>60</v>
      </c>
    </row>
    <row r="53" spans="1:10" x14ac:dyDescent="0.25">
      <c r="A53" s="21" t="s">
        <v>59</v>
      </c>
      <c r="B53" s="21"/>
      <c r="C53" s="16">
        <f>ROUND(0.734, 4)</f>
        <v>0.73399999999999999</v>
      </c>
      <c r="D53" s="16">
        <f>ROUND(0.7324, 4)</f>
        <v>0.73240000000000005</v>
      </c>
      <c r="E53" s="16">
        <f>ROUND(0.7856, 4)</f>
        <v>0.78559999999999997</v>
      </c>
      <c r="F53" s="9"/>
      <c r="G53" s="15" t="s">
        <v>63</v>
      </c>
      <c r="H53" s="27" t="s">
        <v>64</v>
      </c>
      <c r="I53" s="24" t="s">
        <v>65</v>
      </c>
      <c r="J53" s="24" t="s">
        <v>66</v>
      </c>
    </row>
    <row r="54" spans="1:10" x14ac:dyDescent="0.25">
      <c r="A54" s="21" t="s">
        <v>67</v>
      </c>
      <c r="B54" s="21"/>
      <c r="C54" s="16">
        <f>ROUND(0.734, 4)</f>
        <v>0.73399999999999999</v>
      </c>
      <c r="D54" s="16">
        <f>ROUND(0.7018, 4)</f>
        <v>0.70179999999999998</v>
      </c>
      <c r="E54" s="16">
        <f>ROUND(0.7702, 4)</f>
        <v>0.7702</v>
      </c>
      <c r="F54" s="9"/>
      <c r="G54" s="15" t="s">
        <v>68</v>
      </c>
      <c r="H54" s="28"/>
      <c r="I54" s="25"/>
      <c r="J54" s="25"/>
    </row>
    <row r="55" spans="1:10" x14ac:dyDescent="0.25">
      <c r="C55" s="9"/>
      <c r="D55" s="9"/>
      <c r="E55" s="9"/>
      <c r="F55" s="9"/>
      <c r="G55" s="9"/>
      <c r="H55" s="9"/>
      <c r="I55" s="10"/>
      <c r="J55" s="10"/>
    </row>
    <row r="56" spans="1:10" x14ac:dyDescent="0.25">
      <c r="C56" s="9"/>
      <c r="D56" s="9"/>
      <c r="E56" s="9"/>
      <c r="F56" s="9"/>
      <c r="G56" s="9"/>
      <c r="H56" s="9"/>
      <c r="I56" s="10"/>
      <c r="J56" s="10"/>
    </row>
    <row r="57" spans="1:10" x14ac:dyDescent="0.25">
      <c r="C57" s="9"/>
      <c r="D57" s="9"/>
      <c r="E57" s="9"/>
      <c r="F57" s="9"/>
      <c r="G57" s="9"/>
      <c r="H57" s="9"/>
      <c r="I57" s="10"/>
      <c r="J57" s="10"/>
    </row>
    <row r="58" spans="1:10" x14ac:dyDescent="0.25">
      <c r="A58" s="26" t="s">
        <v>69</v>
      </c>
      <c r="B58" s="26"/>
      <c r="C58" s="15" t="s">
        <v>2</v>
      </c>
      <c r="D58" s="15" t="s">
        <v>341</v>
      </c>
      <c r="E58" s="15" t="s">
        <v>71</v>
      </c>
      <c r="F58" s="15" t="s">
        <v>72</v>
      </c>
      <c r="G58" s="15" t="s">
        <v>73</v>
      </c>
      <c r="H58" s="14"/>
      <c r="I58" s="18"/>
      <c r="J58" s="18"/>
    </row>
    <row r="59" spans="1:10" x14ac:dyDescent="0.25">
      <c r="A59" s="21" t="s">
        <v>74</v>
      </c>
      <c r="B59" s="21"/>
      <c r="C59" s="17">
        <v>95.41</v>
      </c>
      <c r="D59" s="17">
        <v>83.87</v>
      </c>
      <c r="E59" s="17">
        <v>96.15</v>
      </c>
      <c r="F59" s="17">
        <v>57.94</v>
      </c>
      <c r="G59" s="17">
        <f>12/12*C59</f>
        <v>95.41</v>
      </c>
      <c r="H59" s="9"/>
      <c r="I59" s="10"/>
      <c r="J59" s="10"/>
    </row>
    <row r="60" spans="1:10" x14ac:dyDescent="0.25">
      <c r="A60" s="21" t="s">
        <v>75</v>
      </c>
      <c r="B60" s="21"/>
      <c r="C60" s="17">
        <v>30.84</v>
      </c>
      <c r="D60" s="17">
        <v>40.65</v>
      </c>
      <c r="E60" s="17">
        <v>62.28</v>
      </c>
      <c r="F60" s="17">
        <v>66.599999999999994</v>
      </c>
      <c r="G60" s="17">
        <f>12/12*C60</f>
        <v>30.84</v>
      </c>
      <c r="H60" s="9"/>
      <c r="I60" s="10"/>
      <c r="J60" s="10"/>
    </row>
    <row r="61" spans="1:10" x14ac:dyDescent="0.25">
      <c r="A61" s="21" t="s">
        <v>76</v>
      </c>
      <c r="B61" s="21"/>
      <c r="C61" s="17">
        <v>277.39</v>
      </c>
      <c r="D61" s="17">
        <v>261.89999999999998</v>
      </c>
      <c r="E61" s="17">
        <v>300.02</v>
      </c>
      <c r="F61" s="17">
        <v>295.08</v>
      </c>
      <c r="G61" s="17">
        <f>12/12*C61</f>
        <v>277.39</v>
      </c>
      <c r="H61" s="9"/>
      <c r="I61" s="10"/>
      <c r="J61" s="10"/>
    </row>
    <row r="62" spans="1:10" x14ac:dyDescent="0.25">
      <c r="A62" s="21" t="s">
        <v>77</v>
      </c>
      <c r="B62" s="21"/>
      <c r="C62" s="17">
        <v>127.01</v>
      </c>
      <c r="D62" s="17">
        <v>108.5</v>
      </c>
      <c r="E62" s="17">
        <v>120.96</v>
      </c>
      <c r="F62" s="17">
        <v>83.12</v>
      </c>
      <c r="G62" s="17">
        <f>12/12*C62</f>
        <v>127.01</v>
      </c>
      <c r="H62" s="9"/>
      <c r="I62" s="10"/>
      <c r="J62" s="10"/>
    </row>
    <row r="63" spans="1:10" x14ac:dyDescent="0.25">
      <c r="C63" s="9"/>
      <c r="D63" s="9"/>
      <c r="E63" s="9"/>
      <c r="F63" s="9"/>
      <c r="G63" s="9"/>
      <c r="H63" s="9"/>
      <c r="I63" s="10"/>
      <c r="J63" s="10"/>
    </row>
    <row r="64" spans="1:10" x14ac:dyDescent="0.25">
      <c r="C64" s="9"/>
      <c r="D64" s="9"/>
      <c r="E64" s="9"/>
      <c r="F64" s="9"/>
      <c r="G64" s="9"/>
      <c r="H64" s="9"/>
      <c r="I64" s="10"/>
      <c r="J64" s="10"/>
    </row>
    <row r="65" spans="1:10" x14ac:dyDescent="0.25">
      <c r="A65" s="22" t="s">
        <v>61</v>
      </c>
      <c r="B65" s="23"/>
      <c r="C65" s="9"/>
      <c r="D65" s="9"/>
      <c r="E65" s="9"/>
      <c r="F65" s="9"/>
      <c r="G65" s="9"/>
      <c r="H65" s="9"/>
      <c r="I65" s="10"/>
      <c r="J65" s="10"/>
    </row>
    <row r="66" spans="1:10" x14ac:dyDescent="0.25">
      <c r="A66" s="3" t="s">
        <v>78</v>
      </c>
      <c r="B66" s="1" t="s">
        <v>342</v>
      </c>
      <c r="C66" s="9"/>
      <c r="D66" s="9"/>
      <c r="E66" s="9"/>
      <c r="F66" s="9"/>
      <c r="G66" s="9"/>
      <c r="H66" s="9"/>
      <c r="I66" s="10"/>
      <c r="J66" s="10"/>
    </row>
    <row r="67" spans="1:10" x14ac:dyDescent="0.25">
      <c r="A67" s="3" t="s">
        <v>71</v>
      </c>
      <c r="B67" s="1" t="s">
        <v>80</v>
      </c>
      <c r="C67" s="9"/>
      <c r="D67" s="9"/>
      <c r="E67" s="9"/>
      <c r="F67" s="9"/>
      <c r="G67" s="9"/>
      <c r="H67" s="9"/>
      <c r="I67" s="10"/>
      <c r="J67" s="10"/>
    </row>
    <row r="68" spans="1:10" x14ac:dyDescent="0.25">
      <c r="A68" s="3" t="s">
        <v>72</v>
      </c>
      <c r="B68" s="1" t="s">
        <v>81</v>
      </c>
      <c r="C68" s="9"/>
      <c r="D68" s="9"/>
      <c r="E68" s="9"/>
      <c r="F68" s="9"/>
      <c r="G68" s="9"/>
      <c r="H68" s="9"/>
      <c r="I68" s="10"/>
      <c r="J68" s="10"/>
    </row>
    <row r="69" spans="1:10" x14ac:dyDescent="0.25">
      <c r="A69" s="3" t="s">
        <v>73</v>
      </c>
      <c r="B69" s="1" t="s">
        <v>82</v>
      </c>
      <c r="C69" s="9"/>
      <c r="D69" s="9"/>
      <c r="E69" s="9"/>
      <c r="F69" s="9"/>
      <c r="G69" s="9"/>
      <c r="H69" s="9"/>
      <c r="I69" s="10"/>
      <c r="J69" s="10"/>
    </row>
    <row r="70" spans="1:10" x14ac:dyDescent="0.25">
      <c r="C70" s="9"/>
      <c r="D70" s="9"/>
      <c r="E70" s="9"/>
      <c r="F70" s="9"/>
      <c r="G70" s="9"/>
      <c r="H70" s="9"/>
      <c r="I70" s="10"/>
      <c r="J70" s="10"/>
    </row>
    <row r="71" spans="1:10" x14ac:dyDescent="0.25">
      <c r="C71" s="9"/>
      <c r="D71" s="9"/>
      <c r="E71" s="9"/>
      <c r="F71" s="9"/>
      <c r="G71" s="9"/>
      <c r="H71" s="9"/>
      <c r="I71" s="10"/>
      <c r="J71" s="10"/>
    </row>
    <row r="72" spans="1:10" x14ac:dyDescent="0.25">
      <c r="C72" s="9"/>
      <c r="D72" s="9"/>
      <c r="E72" s="9"/>
      <c r="F72" s="9"/>
      <c r="G72" s="9"/>
      <c r="H72" s="9"/>
      <c r="I72" s="10"/>
      <c r="J72" s="10"/>
    </row>
    <row r="73" spans="1:10" x14ac:dyDescent="0.25">
      <c r="C73" s="9"/>
      <c r="D73" s="9"/>
      <c r="E73" s="9"/>
      <c r="F73" s="9"/>
      <c r="G73" s="9"/>
      <c r="H73" s="9"/>
      <c r="I73" s="10"/>
      <c r="J73" s="10"/>
    </row>
    <row r="74" spans="1:10" x14ac:dyDescent="0.25">
      <c r="C74" s="9"/>
      <c r="D74" s="9"/>
      <c r="E74" s="9"/>
      <c r="F74" s="9"/>
      <c r="G74" s="9"/>
      <c r="H74" s="9"/>
      <c r="I74" s="10"/>
      <c r="J74" s="10"/>
    </row>
    <row r="75" spans="1:10" x14ac:dyDescent="0.25">
      <c r="C75" s="9"/>
      <c r="D75" s="9"/>
      <c r="E75" s="9"/>
      <c r="F75" s="9"/>
      <c r="G75" s="9"/>
      <c r="H75" s="9"/>
      <c r="I75" s="10"/>
      <c r="J75" s="10"/>
    </row>
  </sheetData>
  <mergeCells count="19">
    <mergeCell ref="C7:G7"/>
    <mergeCell ref="A38:B38"/>
    <mergeCell ref="A39:B39"/>
    <mergeCell ref="A44:B44"/>
    <mergeCell ref="A45:B45"/>
    <mergeCell ref="J53:J54"/>
    <mergeCell ref="A54:B54"/>
    <mergeCell ref="A58:B58"/>
    <mergeCell ref="A59:B59"/>
    <mergeCell ref="A46:B46"/>
    <mergeCell ref="A47:B47"/>
    <mergeCell ref="A52:B52"/>
    <mergeCell ref="A53:B53"/>
    <mergeCell ref="H53:H54"/>
    <mergeCell ref="A60:B60"/>
    <mergeCell ref="A61:B61"/>
    <mergeCell ref="A62:B62"/>
    <mergeCell ref="A65:B65"/>
    <mergeCell ref="I53:I54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2:J75"/>
  <sheetViews>
    <sheetView workbookViewId="0">
      <selection activeCell="H5" sqref="H5"/>
    </sheetView>
  </sheetViews>
  <sheetFormatPr defaultRowHeight="15" x14ac:dyDescent="0.25"/>
  <cols>
    <col min="1" max="1" width="28.42578125" bestFit="1" customWidth="1"/>
    <col min="2" max="2" width="59.5703125" bestFit="1" customWidth="1"/>
    <col min="3" max="3" width="12.7109375" bestFit="1" customWidth="1"/>
    <col min="4" max="4" width="21.42578125" bestFit="1" customWidth="1"/>
    <col min="5" max="5" width="13.85546875" bestFit="1" customWidth="1"/>
    <col min="6" max="6" width="8.5703125" bestFit="1" customWidth="1"/>
    <col min="7" max="7" width="47.7109375" bestFit="1" customWidth="1"/>
    <col min="8" max="9" width="16.7109375" bestFit="1" customWidth="1"/>
    <col min="10" max="10" width="24.42578125" bestFit="1" customWidth="1"/>
  </cols>
  <sheetData>
    <row r="2" spans="1:10" ht="18.75" x14ac:dyDescent="0.3">
      <c r="A2" s="3" t="s">
        <v>0</v>
      </c>
      <c r="B2" s="4" t="s">
        <v>343</v>
      </c>
    </row>
    <row r="3" spans="1:10" x14ac:dyDescent="0.25">
      <c r="A3" s="3" t="s">
        <v>2</v>
      </c>
      <c r="B3" s="1" t="s">
        <v>3</v>
      </c>
    </row>
    <row r="4" spans="1:10" x14ac:dyDescent="0.25">
      <c r="A4" s="3" t="s">
        <v>4</v>
      </c>
      <c r="B4" s="20">
        <v>2645</v>
      </c>
    </row>
    <row r="7" spans="1:10" x14ac:dyDescent="0.25">
      <c r="C7" s="22" t="s">
        <v>5</v>
      </c>
      <c r="D7" s="21"/>
      <c r="E7" s="21"/>
      <c r="F7" s="21"/>
      <c r="G7" s="21"/>
    </row>
    <row r="8" spans="1:10" x14ac:dyDescent="0.25">
      <c r="A8" s="3" t="s">
        <v>6</v>
      </c>
      <c r="B8" s="3" t="s">
        <v>7</v>
      </c>
      <c r="C8" s="15" t="s">
        <v>8</v>
      </c>
      <c r="D8" s="15" t="s">
        <v>9</v>
      </c>
      <c r="E8" s="15" t="s">
        <v>10</v>
      </c>
      <c r="F8" s="15" t="s">
        <v>11</v>
      </c>
      <c r="G8" s="15" t="s">
        <v>12</v>
      </c>
      <c r="H8" s="15" t="s">
        <v>13</v>
      </c>
      <c r="I8" s="15" t="s">
        <v>14</v>
      </c>
      <c r="J8" s="15" t="s">
        <v>15</v>
      </c>
    </row>
    <row r="9" spans="1:10" x14ac:dyDescent="0.25">
      <c r="A9" s="1" t="s">
        <v>16</v>
      </c>
      <c r="B9" s="1" t="s">
        <v>17</v>
      </c>
      <c r="C9" s="11"/>
      <c r="D9" s="11"/>
      <c r="E9" s="11">
        <v>34</v>
      </c>
      <c r="F9" s="11"/>
      <c r="G9" s="11">
        <f t="shared" ref="G9:G43" si="0">SUM(C9:F9)</f>
        <v>34</v>
      </c>
      <c r="H9" s="17">
        <f t="shared" ref="H9:H43" si="1">ROUND(G9/2645,2)</f>
        <v>0.01</v>
      </c>
      <c r="I9" s="16">
        <f t="shared" ref="I9:I43" si="2">ROUND(G9/$G$44,3)</f>
        <v>0</v>
      </c>
      <c r="J9" s="16">
        <f>ROUND(G9/55-1,2)</f>
        <v>-0.38</v>
      </c>
    </row>
    <row r="10" spans="1:10" x14ac:dyDescent="0.25">
      <c r="A10" s="1" t="s">
        <v>16</v>
      </c>
      <c r="B10" s="1" t="s">
        <v>19</v>
      </c>
      <c r="C10" s="11">
        <v>93490</v>
      </c>
      <c r="D10" s="11"/>
      <c r="E10" s="11">
        <v>2005</v>
      </c>
      <c r="F10" s="11"/>
      <c r="G10" s="11">
        <f t="shared" si="0"/>
        <v>95495</v>
      </c>
      <c r="H10" s="17">
        <f t="shared" si="1"/>
        <v>36.1</v>
      </c>
      <c r="I10" s="16">
        <f t="shared" si="2"/>
        <v>9.5000000000000001E-2</v>
      </c>
      <c r="J10" s="16">
        <f>ROUND(G10/101250-1,2)</f>
        <v>-0.06</v>
      </c>
    </row>
    <row r="11" spans="1:10" x14ac:dyDescent="0.25">
      <c r="A11" s="1" t="s">
        <v>16</v>
      </c>
      <c r="B11" s="1" t="s">
        <v>20</v>
      </c>
      <c r="C11" s="11">
        <v>111830</v>
      </c>
      <c r="D11" s="11"/>
      <c r="E11" s="11"/>
      <c r="F11" s="11"/>
      <c r="G11" s="11">
        <f t="shared" si="0"/>
        <v>111830</v>
      </c>
      <c r="H11" s="17">
        <f t="shared" si="1"/>
        <v>42.28</v>
      </c>
      <c r="I11" s="16">
        <f t="shared" si="2"/>
        <v>0.112</v>
      </c>
      <c r="J11" s="16">
        <f>ROUND(G11/126400-1,2)</f>
        <v>-0.12</v>
      </c>
    </row>
    <row r="12" spans="1:10" x14ac:dyDescent="0.25">
      <c r="A12" s="1" t="s">
        <v>16</v>
      </c>
      <c r="B12" s="1" t="s">
        <v>87</v>
      </c>
      <c r="C12" s="11"/>
      <c r="D12" s="11"/>
      <c r="E12" s="11">
        <v>66</v>
      </c>
      <c r="F12" s="11"/>
      <c r="G12" s="11">
        <f t="shared" si="0"/>
        <v>66</v>
      </c>
      <c r="H12" s="17">
        <f t="shared" si="1"/>
        <v>0.02</v>
      </c>
      <c r="I12" s="16">
        <f t="shared" si="2"/>
        <v>0</v>
      </c>
      <c r="J12" s="16">
        <f>ROUND(G12/105-1,2)</f>
        <v>-0.37</v>
      </c>
    </row>
    <row r="13" spans="1:10" x14ac:dyDescent="0.25">
      <c r="A13" s="1" t="s">
        <v>16</v>
      </c>
      <c r="B13" s="1" t="s">
        <v>21</v>
      </c>
      <c r="C13" s="11"/>
      <c r="D13" s="11"/>
      <c r="E13" s="11">
        <v>326</v>
      </c>
      <c r="F13" s="11"/>
      <c r="G13" s="11">
        <f t="shared" si="0"/>
        <v>326</v>
      </c>
      <c r="H13" s="17">
        <f t="shared" si="1"/>
        <v>0.12</v>
      </c>
      <c r="I13" s="16">
        <f t="shared" si="2"/>
        <v>0</v>
      </c>
      <c r="J13" s="16">
        <f>ROUND(G13/485-1,2)</f>
        <v>-0.33</v>
      </c>
    </row>
    <row r="14" spans="1:10" x14ac:dyDescent="0.25">
      <c r="A14" s="1" t="s">
        <v>16</v>
      </c>
      <c r="B14" s="1" t="s">
        <v>23</v>
      </c>
      <c r="C14" s="11"/>
      <c r="D14" s="11"/>
      <c r="E14" s="11">
        <v>41420</v>
      </c>
      <c r="F14" s="11"/>
      <c r="G14" s="11">
        <f t="shared" si="0"/>
        <v>41420</v>
      </c>
      <c r="H14" s="17">
        <f t="shared" si="1"/>
        <v>15.66</v>
      </c>
      <c r="I14" s="16">
        <f t="shared" si="2"/>
        <v>4.1000000000000002E-2</v>
      </c>
      <c r="J14" s="16">
        <f>ROUND(G14/68770-1,2)</f>
        <v>-0.4</v>
      </c>
    </row>
    <row r="15" spans="1:10" x14ac:dyDescent="0.25">
      <c r="A15" s="1" t="s">
        <v>16</v>
      </c>
      <c r="B15" s="1" t="s">
        <v>24</v>
      </c>
      <c r="C15" s="11">
        <v>122030</v>
      </c>
      <c r="D15" s="11"/>
      <c r="E15" s="11"/>
      <c r="F15" s="11"/>
      <c r="G15" s="11">
        <f t="shared" si="0"/>
        <v>122030</v>
      </c>
      <c r="H15" s="17">
        <f t="shared" si="1"/>
        <v>46.14</v>
      </c>
      <c r="I15" s="16">
        <f t="shared" si="2"/>
        <v>0.122</v>
      </c>
      <c r="J15" s="16">
        <f>ROUND(G15/133560-1,2)</f>
        <v>-0.09</v>
      </c>
    </row>
    <row r="16" spans="1:10" x14ac:dyDescent="0.25">
      <c r="A16" s="1" t="s">
        <v>16</v>
      </c>
      <c r="B16" s="1" t="s">
        <v>25</v>
      </c>
      <c r="C16" s="11"/>
      <c r="D16" s="11"/>
      <c r="E16" s="11">
        <v>5710</v>
      </c>
      <c r="F16" s="11"/>
      <c r="G16" s="11">
        <f t="shared" si="0"/>
        <v>5710</v>
      </c>
      <c r="H16" s="17">
        <f t="shared" si="1"/>
        <v>2.16</v>
      </c>
      <c r="I16" s="16">
        <f t="shared" si="2"/>
        <v>6.0000000000000001E-3</v>
      </c>
      <c r="J16" s="16">
        <f>ROUND(G16/3785-1,2)</f>
        <v>0.51</v>
      </c>
    </row>
    <row r="17" spans="1:10" x14ac:dyDescent="0.25">
      <c r="A17" s="1" t="s">
        <v>16</v>
      </c>
      <c r="B17" s="1" t="s">
        <v>26</v>
      </c>
      <c r="C17" s="11">
        <v>193300</v>
      </c>
      <c r="D17" s="11"/>
      <c r="E17" s="11"/>
      <c r="F17" s="11">
        <v>940</v>
      </c>
      <c r="G17" s="11">
        <f t="shared" si="0"/>
        <v>194240</v>
      </c>
      <c r="H17" s="17">
        <f t="shared" si="1"/>
        <v>73.44</v>
      </c>
      <c r="I17" s="16">
        <f t="shared" si="2"/>
        <v>0.19400000000000001</v>
      </c>
      <c r="J17" s="16">
        <f>ROUND(G17/187090-1,2)</f>
        <v>0.04</v>
      </c>
    </row>
    <row r="18" spans="1:10" x14ac:dyDescent="0.25">
      <c r="A18" s="1" t="s">
        <v>16</v>
      </c>
      <c r="B18" s="1" t="s">
        <v>27</v>
      </c>
      <c r="C18" s="11"/>
      <c r="D18" s="11"/>
      <c r="E18" s="11">
        <v>1114</v>
      </c>
      <c r="F18" s="11"/>
      <c r="G18" s="11">
        <f t="shared" si="0"/>
        <v>1114</v>
      </c>
      <c r="H18" s="17">
        <f t="shared" si="1"/>
        <v>0.42</v>
      </c>
      <c r="I18" s="16">
        <f t="shared" si="2"/>
        <v>1E-3</v>
      </c>
      <c r="J18" s="16">
        <f>ROUND(G18/800-1,2)</f>
        <v>0.39</v>
      </c>
    </row>
    <row r="19" spans="1:10" x14ac:dyDescent="0.25">
      <c r="A19" s="1" t="s">
        <v>16</v>
      </c>
      <c r="B19" s="1" t="s">
        <v>28</v>
      </c>
      <c r="C19" s="11"/>
      <c r="D19" s="11"/>
      <c r="E19" s="11">
        <v>862</v>
      </c>
      <c r="F19" s="11"/>
      <c r="G19" s="11">
        <f t="shared" si="0"/>
        <v>862</v>
      </c>
      <c r="H19" s="17">
        <f t="shared" si="1"/>
        <v>0.33</v>
      </c>
      <c r="I19" s="16">
        <f t="shared" si="2"/>
        <v>1E-3</v>
      </c>
      <c r="J19" s="16">
        <f>ROUND(G19/385-1,2)</f>
        <v>1.24</v>
      </c>
    </row>
    <row r="20" spans="1:10" x14ac:dyDescent="0.25">
      <c r="A20" s="1" t="s">
        <v>16</v>
      </c>
      <c r="B20" s="1" t="s">
        <v>30</v>
      </c>
      <c r="C20" s="11"/>
      <c r="D20" s="11"/>
      <c r="E20" s="11">
        <v>3124</v>
      </c>
      <c r="F20" s="11"/>
      <c r="G20" s="11">
        <f t="shared" si="0"/>
        <v>3124</v>
      </c>
      <c r="H20" s="17">
        <f t="shared" si="1"/>
        <v>1.18</v>
      </c>
      <c r="I20" s="16">
        <f t="shared" si="2"/>
        <v>3.0000000000000001E-3</v>
      </c>
      <c r="J20" s="16">
        <f>ROUND(G20/4603-1,2)</f>
        <v>-0.32</v>
      </c>
    </row>
    <row r="21" spans="1:10" x14ac:dyDescent="0.25">
      <c r="A21" s="1" t="s">
        <v>16</v>
      </c>
      <c r="B21" s="1" t="s">
        <v>31</v>
      </c>
      <c r="C21" s="11"/>
      <c r="D21" s="11"/>
      <c r="E21" s="11">
        <v>1260</v>
      </c>
      <c r="F21" s="11"/>
      <c r="G21" s="11">
        <f t="shared" si="0"/>
        <v>1260</v>
      </c>
      <c r="H21" s="17">
        <f t="shared" si="1"/>
        <v>0.48</v>
      </c>
      <c r="I21" s="16">
        <f t="shared" si="2"/>
        <v>1E-3</v>
      </c>
      <c r="J21" s="16">
        <f>ROUND(G21/1120-1,2)</f>
        <v>0.13</v>
      </c>
    </row>
    <row r="22" spans="1:10" x14ac:dyDescent="0.25">
      <c r="A22" s="1" t="s">
        <v>16</v>
      </c>
      <c r="B22" s="1" t="s">
        <v>32</v>
      </c>
      <c r="C22" s="11"/>
      <c r="D22" s="11"/>
      <c r="E22" s="11">
        <v>600</v>
      </c>
      <c r="F22" s="11"/>
      <c r="G22" s="11">
        <f t="shared" si="0"/>
        <v>600</v>
      </c>
      <c r="H22" s="17">
        <f t="shared" si="1"/>
        <v>0.23</v>
      </c>
      <c r="I22" s="16">
        <f t="shared" si="2"/>
        <v>1E-3</v>
      </c>
      <c r="J22" s="16">
        <f>ROUND(G22/600-1,2)</f>
        <v>0</v>
      </c>
    </row>
    <row r="23" spans="1:10" x14ac:dyDescent="0.25">
      <c r="A23" s="1" t="s">
        <v>16</v>
      </c>
      <c r="B23" s="1" t="s">
        <v>33</v>
      </c>
      <c r="C23" s="11"/>
      <c r="D23" s="11"/>
      <c r="E23" s="11">
        <v>1092</v>
      </c>
      <c r="F23" s="11"/>
      <c r="G23" s="11">
        <f t="shared" si="0"/>
        <v>1092</v>
      </c>
      <c r="H23" s="17">
        <f t="shared" si="1"/>
        <v>0.41</v>
      </c>
      <c r="I23" s="16">
        <f t="shared" si="2"/>
        <v>1E-3</v>
      </c>
      <c r="J23" s="16">
        <f>ROUND(G23/1568-1,2)</f>
        <v>-0.3</v>
      </c>
    </row>
    <row r="24" spans="1:10" x14ac:dyDescent="0.25">
      <c r="A24" s="1" t="s">
        <v>16</v>
      </c>
      <c r="B24" s="1" t="s">
        <v>34</v>
      </c>
      <c r="C24" s="11"/>
      <c r="D24" s="11">
        <v>38</v>
      </c>
      <c r="E24" s="11">
        <v>230</v>
      </c>
      <c r="F24" s="11"/>
      <c r="G24" s="11">
        <f t="shared" si="0"/>
        <v>268</v>
      </c>
      <c r="H24" s="17">
        <f t="shared" si="1"/>
        <v>0.1</v>
      </c>
      <c r="I24" s="16">
        <f t="shared" si="2"/>
        <v>0</v>
      </c>
      <c r="J24" s="16">
        <f>ROUND(G24/269-1,2)</f>
        <v>0</v>
      </c>
    </row>
    <row r="25" spans="1:10" x14ac:dyDescent="0.25">
      <c r="A25" s="1" t="s">
        <v>16</v>
      </c>
      <c r="B25" s="1" t="s">
        <v>36</v>
      </c>
      <c r="C25" s="11"/>
      <c r="D25" s="11"/>
      <c r="E25" s="11">
        <v>680</v>
      </c>
      <c r="F25" s="11"/>
      <c r="G25" s="11">
        <f t="shared" si="0"/>
        <v>680</v>
      </c>
      <c r="H25" s="17">
        <f t="shared" si="1"/>
        <v>0.26</v>
      </c>
      <c r="I25" s="16">
        <f t="shared" si="2"/>
        <v>1E-3</v>
      </c>
      <c r="J25" s="16">
        <f>ROUND(G25/401-1,2)</f>
        <v>0.7</v>
      </c>
    </row>
    <row r="26" spans="1:10" x14ac:dyDescent="0.25">
      <c r="A26" s="1" t="s">
        <v>16</v>
      </c>
      <c r="B26" s="1" t="s">
        <v>37</v>
      </c>
      <c r="C26" s="11"/>
      <c r="D26" s="11"/>
      <c r="E26" s="11">
        <v>2080</v>
      </c>
      <c r="F26" s="11"/>
      <c r="G26" s="11">
        <f t="shared" si="0"/>
        <v>2080</v>
      </c>
      <c r="H26" s="17">
        <f t="shared" si="1"/>
        <v>0.79</v>
      </c>
      <c r="I26" s="16">
        <f t="shared" si="2"/>
        <v>2E-3</v>
      </c>
      <c r="J26" s="16">
        <f>ROUND(G26/2355-1,2)</f>
        <v>-0.12</v>
      </c>
    </row>
    <row r="27" spans="1:10" x14ac:dyDescent="0.25">
      <c r="A27" s="1" t="s">
        <v>16</v>
      </c>
      <c r="B27" s="1" t="s">
        <v>38</v>
      </c>
      <c r="C27" s="11"/>
      <c r="D27" s="11"/>
      <c r="E27" s="11">
        <v>2180</v>
      </c>
      <c r="F27" s="11"/>
      <c r="G27" s="11">
        <f t="shared" si="0"/>
        <v>2180</v>
      </c>
      <c r="H27" s="17">
        <f t="shared" si="1"/>
        <v>0.82</v>
      </c>
      <c r="I27" s="16">
        <f t="shared" si="2"/>
        <v>2E-3</v>
      </c>
      <c r="J27" s="16">
        <f>ROUND(G27/6780-1,2)</f>
        <v>-0.68</v>
      </c>
    </row>
    <row r="28" spans="1:10" x14ac:dyDescent="0.25">
      <c r="A28" s="1" t="s">
        <v>16</v>
      </c>
      <c r="B28" s="1" t="s">
        <v>39</v>
      </c>
      <c r="C28" s="11"/>
      <c r="D28" s="11"/>
      <c r="E28" s="11">
        <v>6070</v>
      </c>
      <c r="F28" s="11"/>
      <c r="G28" s="11">
        <f t="shared" si="0"/>
        <v>6070</v>
      </c>
      <c r="H28" s="17">
        <f t="shared" si="1"/>
        <v>2.29</v>
      </c>
      <c r="I28" s="16">
        <f t="shared" si="2"/>
        <v>6.0000000000000001E-3</v>
      </c>
      <c r="J28" s="16">
        <f>ROUND(G28/11395-1,2)</f>
        <v>-0.47</v>
      </c>
    </row>
    <row r="29" spans="1:10" x14ac:dyDescent="0.25">
      <c r="A29" s="1" t="s">
        <v>16</v>
      </c>
      <c r="B29" s="1" t="s">
        <v>40</v>
      </c>
      <c r="C29" s="11"/>
      <c r="D29" s="11"/>
      <c r="E29" s="11">
        <v>64480</v>
      </c>
      <c r="F29" s="11"/>
      <c r="G29" s="11">
        <f t="shared" si="0"/>
        <v>64480</v>
      </c>
      <c r="H29" s="17">
        <f t="shared" si="1"/>
        <v>24.38</v>
      </c>
      <c r="I29" s="16">
        <f t="shared" si="2"/>
        <v>6.4000000000000001E-2</v>
      </c>
      <c r="J29" s="16">
        <f>ROUND(G29/72270-1,2)</f>
        <v>-0.11</v>
      </c>
    </row>
    <row r="30" spans="1:10" x14ac:dyDescent="0.25">
      <c r="A30" s="1" t="s">
        <v>16</v>
      </c>
      <c r="B30" s="1" t="s">
        <v>41</v>
      </c>
      <c r="C30" s="11"/>
      <c r="D30" s="11"/>
      <c r="E30" s="11">
        <v>4670</v>
      </c>
      <c r="F30" s="11"/>
      <c r="G30" s="11">
        <f t="shared" si="0"/>
        <v>4670</v>
      </c>
      <c r="H30" s="17">
        <f t="shared" si="1"/>
        <v>1.77</v>
      </c>
      <c r="I30" s="16">
        <f t="shared" si="2"/>
        <v>5.0000000000000001E-3</v>
      </c>
      <c r="J30" s="16">
        <f>ROUND(G30/3920-1,2)</f>
        <v>0.19</v>
      </c>
    </row>
    <row r="31" spans="1:10" x14ac:dyDescent="0.25">
      <c r="A31" s="1" t="s">
        <v>16</v>
      </c>
      <c r="B31" s="1" t="s">
        <v>42</v>
      </c>
      <c r="C31" s="11"/>
      <c r="D31" s="11"/>
      <c r="E31" s="11">
        <v>21900</v>
      </c>
      <c r="F31" s="11"/>
      <c r="G31" s="11">
        <f t="shared" si="0"/>
        <v>21900</v>
      </c>
      <c r="H31" s="17">
        <f t="shared" si="1"/>
        <v>8.2799999999999994</v>
      </c>
      <c r="I31" s="16">
        <f t="shared" si="2"/>
        <v>2.1999999999999999E-2</v>
      </c>
      <c r="J31" s="16">
        <f>ROUND(G31/21800-1,2)</f>
        <v>0</v>
      </c>
    </row>
    <row r="32" spans="1:10" x14ac:dyDescent="0.25">
      <c r="A32" s="1" t="s">
        <v>16</v>
      </c>
      <c r="B32" s="1" t="s">
        <v>44</v>
      </c>
      <c r="C32" s="11"/>
      <c r="D32" s="11"/>
      <c r="E32" s="11">
        <v>79425</v>
      </c>
      <c r="F32" s="11">
        <v>2140</v>
      </c>
      <c r="G32" s="11">
        <f t="shared" si="0"/>
        <v>81565</v>
      </c>
      <c r="H32" s="17">
        <f t="shared" si="1"/>
        <v>30.84</v>
      </c>
      <c r="I32" s="16">
        <f t="shared" si="2"/>
        <v>8.1000000000000003E-2</v>
      </c>
      <c r="J32" s="16">
        <f>ROUND(G32/79030-1,2)</f>
        <v>0.03</v>
      </c>
    </row>
    <row r="33" spans="1:10" x14ac:dyDescent="0.25">
      <c r="A33" s="1" t="s">
        <v>16</v>
      </c>
      <c r="B33" s="1" t="s">
        <v>18</v>
      </c>
      <c r="C33" s="11"/>
      <c r="D33" s="11"/>
      <c r="E33" s="11"/>
      <c r="F33" s="11"/>
      <c r="G33" s="11">
        <f t="shared" si="0"/>
        <v>0</v>
      </c>
      <c r="H33" s="17">
        <f t="shared" si="1"/>
        <v>0</v>
      </c>
      <c r="I33" s="16">
        <f t="shared" si="2"/>
        <v>0</v>
      </c>
      <c r="J33" s="16"/>
    </row>
    <row r="34" spans="1:10" x14ac:dyDescent="0.25">
      <c r="A34" s="1" t="s">
        <v>16</v>
      </c>
      <c r="B34" s="1" t="s">
        <v>22</v>
      </c>
      <c r="C34" s="11"/>
      <c r="D34" s="11"/>
      <c r="E34" s="11"/>
      <c r="F34" s="11"/>
      <c r="G34" s="11">
        <f t="shared" si="0"/>
        <v>0</v>
      </c>
      <c r="H34" s="17">
        <f t="shared" si="1"/>
        <v>0</v>
      </c>
      <c r="I34" s="16">
        <f t="shared" si="2"/>
        <v>0</v>
      </c>
      <c r="J34" s="16">
        <f>ROUND(G34/900-1,2)</f>
        <v>-1</v>
      </c>
    </row>
    <row r="35" spans="1:10" x14ac:dyDescent="0.25">
      <c r="A35" s="1" t="s">
        <v>16</v>
      </c>
      <c r="B35" s="1" t="s">
        <v>29</v>
      </c>
      <c r="C35" s="11"/>
      <c r="D35" s="11"/>
      <c r="E35" s="11"/>
      <c r="F35" s="11"/>
      <c r="G35" s="11">
        <f t="shared" si="0"/>
        <v>0</v>
      </c>
      <c r="H35" s="17">
        <f t="shared" si="1"/>
        <v>0</v>
      </c>
      <c r="I35" s="16">
        <f t="shared" si="2"/>
        <v>0</v>
      </c>
      <c r="J35" s="16">
        <f>ROUND(G35/232-1,2)</f>
        <v>-1</v>
      </c>
    </row>
    <row r="36" spans="1:10" x14ac:dyDescent="0.25">
      <c r="A36" s="1" t="s">
        <v>16</v>
      </c>
      <c r="B36" s="1" t="s">
        <v>35</v>
      </c>
      <c r="C36" s="11"/>
      <c r="D36" s="11"/>
      <c r="E36" s="11"/>
      <c r="F36" s="11"/>
      <c r="G36" s="11">
        <f t="shared" si="0"/>
        <v>0</v>
      </c>
      <c r="H36" s="17">
        <f t="shared" si="1"/>
        <v>0</v>
      </c>
      <c r="I36" s="16">
        <f t="shared" si="2"/>
        <v>0</v>
      </c>
      <c r="J36" s="16">
        <f>ROUND(G36/750-1,2)</f>
        <v>-1</v>
      </c>
    </row>
    <row r="37" spans="1:10" x14ac:dyDescent="0.25">
      <c r="A37" s="1" t="s">
        <v>16</v>
      </c>
      <c r="B37" s="1" t="s">
        <v>97</v>
      </c>
      <c r="C37" s="11"/>
      <c r="D37" s="11"/>
      <c r="E37" s="11"/>
      <c r="F37" s="11"/>
      <c r="G37" s="11">
        <f t="shared" si="0"/>
        <v>0</v>
      </c>
      <c r="H37" s="17">
        <f t="shared" si="1"/>
        <v>0</v>
      </c>
      <c r="I37" s="16">
        <f t="shared" si="2"/>
        <v>0</v>
      </c>
      <c r="J37" s="16"/>
    </row>
    <row r="38" spans="1:10" x14ac:dyDescent="0.25">
      <c r="A38" s="1" t="s">
        <v>45</v>
      </c>
      <c r="B38" s="1" t="s">
        <v>46</v>
      </c>
      <c r="C38" s="11">
        <v>176820</v>
      </c>
      <c r="D38" s="11"/>
      <c r="E38" s="11"/>
      <c r="F38" s="11">
        <v>940</v>
      </c>
      <c r="G38" s="11">
        <f t="shared" si="0"/>
        <v>177760</v>
      </c>
      <c r="H38" s="17">
        <f t="shared" si="1"/>
        <v>67.209999999999994</v>
      </c>
      <c r="I38" s="16">
        <f t="shared" si="2"/>
        <v>0.17799999999999999</v>
      </c>
      <c r="J38" s="16">
        <f>ROUND(G38/162180-1,2)</f>
        <v>0.1</v>
      </c>
    </row>
    <row r="39" spans="1:10" x14ac:dyDescent="0.25">
      <c r="A39" s="1" t="s">
        <v>45</v>
      </c>
      <c r="B39" s="1" t="s">
        <v>48</v>
      </c>
      <c r="C39" s="11"/>
      <c r="D39" s="11"/>
      <c r="E39" s="11"/>
      <c r="F39" s="11">
        <v>18880</v>
      </c>
      <c r="G39" s="11">
        <f t="shared" si="0"/>
        <v>18880</v>
      </c>
      <c r="H39" s="17">
        <f t="shared" si="1"/>
        <v>7.14</v>
      </c>
      <c r="I39" s="16">
        <f t="shared" si="2"/>
        <v>1.9E-2</v>
      </c>
      <c r="J39" s="16">
        <f>ROUND(G39/28035-1,2)</f>
        <v>-0.33</v>
      </c>
    </row>
    <row r="40" spans="1:10" x14ac:dyDescent="0.25">
      <c r="A40" s="1" t="s">
        <v>45</v>
      </c>
      <c r="B40" s="1" t="s">
        <v>47</v>
      </c>
      <c r="C40" s="11"/>
      <c r="D40" s="11"/>
      <c r="E40" s="11">
        <v>41160</v>
      </c>
      <c r="F40" s="11"/>
      <c r="G40" s="11">
        <f t="shared" si="0"/>
        <v>41160</v>
      </c>
      <c r="H40" s="17">
        <f t="shared" si="1"/>
        <v>15.56</v>
      </c>
      <c r="I40" s="16">
        <f t="shared" si="2"/>
        <v>4.1000000000000002E-2</v>
      </c>
      <c r="J40" s="16">
        <f>ROUND(G40/47820-1,2)</f>
        <v>-0.14000000000000001</v>
      </c>
    </row>
    <row r="41" spans="1:10" x14ac:dyDescent="0.25">
      <c r="A41" s="1" t="s">
        <v>49</v>
      </c>
      <c r="B41" s="1" t="s">
        <v>52</v>
      </c>
      <c r="C41" s="11"/>
      <c r="D41" s="11"/>
      <c r="E41" s="11"/>
      <c r="F41" s="11"/>
      <c r="G41" s="11">
        <f t="shared" si="0"/>
        <v>0</v>
      </c>
      <c r="H41" s="17">
        <f t="shared" si="1"/>
        <v>0</v>
      </c>
      <c r="I41" s="16">
        <f t="shared" si="2"/>
        <v>0</v>
      </c>
      <c r="J41" s="16"/>
    </row>
    <row r="42" spans="1:10" x14ac:dyDescent="0.25">
      <c r="A42" s="1" t="s">
        <v>49</v>
      </c>
      <c r="B42" s="1" t="s">
        <v>50</v>
      </c>
      <c r="C42" s="11"/>
      <c r="D42" s="11"/>
      <c r="E42" s="11"/>
      <c r="F42" s="11"/>
      <c r="G42" s="11">
        <f t="shared" si="0"/>
        <v>0</v>
      </c>
      <c r="H42" s="17">
        <f t="shared" si="1"/>
        <v>0</v>
      </c>
      <c r="I42" s="16">
        <f t="shared" si="2"/>
        <v>0</v>
      </c>
      <c r="J42" s="16"/>
    </row>
    <row r="43" spans="1:10" x14ac:dyDescent="0.25">
      <c r="A43" s="1" t="s">
        <v>49</v>
      </c>
      <c r="B43" s="1" t="s">
        <v>51</v>
      </c>
      <c r="C43" s="11"/>
      <c r="D43" s="11"/>
      <c r="E43" s="11"/>
      <c r="F43" s="11"/>
      <c r="G43" s="11">
        <f t="shared" si="0"/>
        <v>0</v>
      </c>
      <c r="H43" s="17">
        <f t="shared" si="1"/>
        <v>0</v>
      </c>
      <c r="I43" s="16">
        <f t="shared" si="2"/>
        <v>0</v>
      </c>
      <c r="J43" s="16"/>
    </row>
    <row r="44" spans="1:10" x14ac:dyDescent="0.25">
      <c r="A44" s="26" t="s">
        <v>12</v>
      </c>
      <c r="B44" s="26"/>
      <c r="C44" s="12">
        <f t="shared" ref="C44:H44" si="3">SUM(C8:C43)</f>
        <v>697470</v>
      </c>
      <c r="D44" s="12">
        <f t="shared" si="3"/>
        <v>38</v>
      </c>
      <c r="E44" s="12">
        <f t="shared" si="3"/>
        <v>280488</v>
      </c>
      <c r="F44" s="12">
        <f t="shared" si="3"/>
        <v>22900</v>
      </c>
      <c r="G44" s="12">
        <f t="shared" si="3"/>
        <v>1000896</v>
      </c>
      <c r="H44" s="15">
        <f t="shared" si="3"/>
        <v>378.41999999999985</v>
      </c>
      <c r="I44" s="18"/>
      <c r="J44" s="18"/>
    </row>
    <row r="45" spans="1:10" x14ac:dyDescent="0.25">
      <c r="A45" s="26" t="s">
        <v>14</v>
      </c>
      <c r="B45" s="26"/>
      <c r="C45" s="13">
        <f>ROUND(C44/G44,2)</f>
        <v>0.7</v>
      </c>
      <c r="D45" s="13">
        <f>ROUND(D44/G44,2)</f>
        <v>0</v>
      </c>
      <c r="E45" s="13">
        <f>ROUND(E44/G44,2)</f>
        <v>0.28000000000000003</v>
      </c>
      <c r="F45" s="13">
        <f>ROUND(F44/G44,2)</f>
        <v>0.02</v>
      </c>
      <c r="G45" s="14"/>
      <c r="H45" s="14"/>
      <c r="I45" s="18"/>
      <c r="J45" s="18"/>
    </row>
    <row r="46" spans="1:10" x14ac:dyDescent="0.25">
      <c r="A46" s="2" t="s">
        <v>53</v>
      </c>
      <c r="B46" s="2"/>
      <c r="C46" s="14"/>
      <c r="D46" s="14"/>
      <c r="E46" s="14"/>
      <c r="F46" s="14"/>
      <c r="G46" s="14"/>
      <c r="H46" s="14"/>
      <c r="I46" s="18"/>
      <c r="J46" s="18"/>
    </row>
    <row r="47" spans="1:10" x14ac:dyDescent="0.25">
      <c r="C47" s="9"/>
      <c r="D47" s="9"/>
      <c r="E47" s="9"/>
      <c r="F47" s="9"/>
      <c r="G47" s="9"/>
      <c r="H47" s="9"/>
      <c r="I47" s="10"/>
      <c r="J47" s="10"/>
    </row>
    <row r="48" spans="1:10" x14ac:dyDescent="0.25">
      <c r="C48" s="9"/>
      <c r="D48" s="9"/>
      <c r="E48" s="9"/>
      <c r="F48" s="9"/>
      <c r="G48" s="9"/>
      <c r="H48" s="9"/>
      <c r="I48" s="10"/>
      <c r="J48" s="10"/>
    </row>
    <row r="49" spans="1:10" x14ac:dyDescent="0.25">
      <c r="C49" s="9"/>
      <c r="D49" s="9"/>
      <c r="E49" s="9"/>
      <c r="F49" s="9"/>
      <c r="G49" s="9"/>
      <c r="H49" s="9"/>
      <c r="I49" s="10"/>
      <c r="J49" s="10"/>
    </row>
    <row r="50" spans="1:10" x14ac:dyDescent="0.25">
      <c r="A50" s="26" t="s">
        <v>54</v>
      </c>
      <c r="B50" s="26"/>
      <c r="C50" s="12" t="s">
        <v>8</v>
      </c>
      <c r="D50" s="12" t="s">
        <v>9</v>
      </c>
      <c r="E50" s="12" t="s">
        <v>10</v>
      </c>
      <c r="F50" s="12" t="s">
        <v>11</v>
      </c>
      <c r="G50" s="12" t="s">
        <v>12</v>
      </c>
      <c r="H50" s="15" t="s">
        <v>13</v>
      </c>
      <c r="I50" s="18"/>
      <c r="J50" s="18"/>
    </row>
    <row r="51" spans="1:10" x14ac:dyDescent="0.25">
      <c r="A51" s="21" t="s">
        <v>55</v>
      </c>
      <c r="B51" s="21"/>
      <c r="C51" s="11">
        <v>520650</v>
      </c>
      <c r="D51" s="11">
        <v>38</v>
      </c>
      <c r="E51" s="11">
        <v>239328</v>
      </c>
      <c r="F51" s="11">
        <v>3080</v>
      </c>
      <c r="G51" s="11">
        <f>SUM(C51:F51)</f>
        <v>763096</v>
      </c>
      <c r="H51" s="17">
        <f>ROUND(G51/2645,2)</f>
        <v>288.51</v>
      </c>
      <c r="I51" s="10"/>
      <c r="J51" s="10"/>
    </row>
    <row r="52" spans="1:10" x14ac:dyDescent="0.25">
      <c r="A52" s="21" t="s">
        <v>56</v>
      </c>
      <c r="B52" s="21"/>
      <c r="C52" s="11">
        <v>176820</v>
      </c>
      <c r="D52" s="11">
        <v>0</v>
      </c>
      <c r="E52" s="11">
        <v>41160</v>
      </c>
      <c r="F52" s="11">
        <v>19820</v>
      </c>
      <c r="G52" s="11">
        <f>SUM(C52:F52)</f>
        <v>237800</v>
      </c>
      <c r="H52" s="17">
        <f>ROUND(G52/2645,2)</f>
        <v>89.91</v>
      </c>
      <c r="I52" s="10"/>
      <c r="J52" s="10"/>
    </row>
    <row r="53" spans="1:10" x14ac:dyDescent="0.25">
      <c r="A53" s="21" t="s">
        <v>57</v>
      </c>
      <c r="B53" s="21"/>
      <c r="C53" s="11">
        <v>0</v>
      </c>
      <c r="D53" s="11">
        <v>0</v>
      </c>
      <c r="E53" s="11">
        <v>0</v>
      </c>
      <c r="F53" s="11">
        <v>0</v>
      </c>
      <c r="G53" s="11">
        <f>SUM(C53:F53)</f>
        <v>0</v>
      </c>
      <c r="H53" s="17">
        <f>ROUND(G53/2645,2)</f>
        <v>0</v>
      </c>
      <c r="I53" s="10"/>
      <c r="J53" s="10"/>
    </row>
    <row r="54" spans="1:10" x14ac:dyDescent="0.25">
      <c r="C54" s="9"/>
      <c r="D54" s="9"/>
      <c r="E54" s="9"/>
      <c r="F54" s="9"/>
      <c r="G54" s="9"/>
      <c r="H54" s="9"/>
      <c r="I54" s="10"/>
      <c r="J54" s="10"/>
    </row>
    <row r="55" spans="1:10" x14ac:dyDescent="0.25">
      <c r="C55" s="9"/>
      <c r="D55" s="9"/>
      <c r="E55" s="9"/>
      <c r="F55" s="9"/>
      <c r="G55" s="9"/>
      <c r="H55" s="9"/>
      <c r="I55" s="10"/>
      <c r="J55" s="10"/>
    </row>
    <row r="56" spans="1:10" x14ac:dyDescent="0.25">
      <c r="C56" s="9"/>
      <c r="D56" s="9"/>
      <c r="E56" s="9"/>
      <c r="F56" s="9"/>
      <c r="G56" s="9"/>
      <c r="H56" s="9"/>
      <c r="I56" s="10"/>
      <c r="J56" s="10"/>
    </row>
    <row r="57" spans="1:10" x14ac:dyDescent="0.25">
      <c r="C57" s="9"/>
      <c r="D57" s="9"/>
      <c r="E57" s="9"/>
      <c r="F57" s="9"/>
      <c r="G57" s="9"/>
      <c r="H57" s="9"/>
      <c r="I57" s="10"/>
      <c r="J57" s="10"/>
    </row>
    <row r="58" spans="1:10" x14ac:dyDescent="0.25">
      <c r="A58" s="26" t="s">
        <v>58</v>
      </c>
      <c r="B58" s="26"/>
      <c r="C58" s="15" t="s">
        <v>2</v>
      </c>
      <c r="D58" s="15">
        <v>2024</v>
      </c>
      <c r="E58" s="15" t="s">
        <v>60</v>
      </c>
      <c r="F58" s="14"/>
      <c r="G58" s="15" t="s">
        <v>61</v>
      </c>
      <c r="H58" s="15" t="s">
        <v>2</v>
      </c>
      <c r="I58" s="13" t="s">
        <v>62</v>
      </c>
      <c r="J58" s="13" t="s">
        <v>60</v>
      </c>
    </row>
    <row r="59" spans="1:10" x14ac:dyDescent="0.25">
      <c r="A59" s="21" t="s">
        <v>59</v>
      </c>
      <c r="B59" s="21"/>
      <c r="C59" s="16">
        <f>ROUND(0.8147, 4)</f>
        <v>0.81469999999999998</v>
      </c>
      <c r="D59" s="16">
        <f>ROUND(0.8347, 4)</f>
        <v>0.8347</v>
      </c>
      <c r="E59" s="16">
        <f>ROUND(0.7856, 4)</f>
        <v>0.78559999999999997</v>
      </c>
      <c r="F59" s="9"/>
      <c r="G59" s="15" t="s">
        <v>63</v>
      </c>
      <c r="H59" s="27" t="s">
        <v>64</v>
      </c>
      <c r="I59" s="24" t="s">
        <v>65</v>
      </c>
      <c r="J59" s="24" t="s">
        <v>66</v>
      </c>
    </row>
    <row r="60" spans="1:10" x14ac:dyDescent="0.25">
      <c r="A60" s="21" t="s">
        <v>67</v>
      </c>
      <c r="B60" s="21"/>
      <c r="C60" s="16">
        <f>ROUND(0.8147, 4)</f>
        <v>0.81469999999999998</v>
      </c>
      <c r="D60" s="16">
        <f>ROUND(0.8218, 4)</f>
        <v>0.82179999999999997</v>
      </c>
      <c r="E60" s="16">
        <f>ROUND(0.7702, 4)</f>
        <v>0.7702</v>
      </c>
      <c r="F60" s="9"/>
      <c r="G60" s="15" t="s">
        <v>68</v>
      </c>
      <c r="H60" s="28"/>
      <c r="I60" s="25"/>
      <c r="J60" s="25"/>
    </row>
    <row r="61" spans="1:10" x14ac:dyDescent="0.25">
      <c r="C61" s="9"/>
      <c r="D61" s="9"/>
      <c r="E61" s="9"/>
      <c r="F61" s="9"/>
      <c r="G61" s="9"/>
      <c r="H61" s="9"/>
      <c r="I61" s="10"/>
      <c r="J61" s="10"/>
    </row>
    <row r="62" spans="1:10" x14ac:dyDescent="0.25">
      <c r="C62" s="9"/>
      <c r="D62" s="9"/>
      <c r="E62" s="9"/>
      <c r="F62" s="9"/>
      <c r="G62" s="9"/>
      <c r="H62" s="9"/>
      <c r="I62" s="10"/>
      <c r="J62" s="10"/>
    </row>
    <row r="63" spans="1:10" x14ac:dyDescent="0.25">
      <c r="C63" s="9"/>
      <c r="D63" s="9"/>
      <c r="E63" s="9"/>
      <c r="F63" s="9"/>
      <c r="G63" s="9"/>
      <c r="H63" s="9"/>
      <c r="I63" s="10"/>
      <c r="J63" s="10"/>
    </row>
    <row r="64" spans="1:10" x14ac:dyDescent="0.25">
      <c r="A64" s="26" t="s">
        <v>69</v>
      </c>
      <c r="B64" s="26"/>
      <c r="C64" s="15" t="s">
        <v>2</v>
      </c>
      <c r="D64" s="15" t="s">
        <v>344</v>
      </c>
      <c r="E64" s="15" t="s">
        <v>71</v>
      </c>
      <c r="F64" s="15" t="s">
        <v>72</v>
      </c>
      <c r="G64" s="15" t="s">
        <v>73</v>
      </c>
      <c r="H64" s="14"/>
      <c r="I64" s="18"/>
      <c r="J64" s="18"/>
    </row>
    <row r="65" spans="1:10" x14ac:dyDescent="0.25">
      <c r="A65" s="21" t="s">
        <v>74</v>
      </c>
      <c r="B65" s="21"/>
      <c r="C65" s="17">
        <v>67.209999999999994</v>
      </c>
      <c r="D65" s="17">
        <v>59.68</v>
      </c>
      <c r="E65" s="17">
        <v>96.15</v>
      </c>
      <c r="F65" s="17">
        <v>57.94</v>
      </c>
      <c r="G65" s="17">
        <f>12/12*C65</f>
        <v>67.209999999999994</v>
      </c>
      <c r="H65" s="9"/>
      <c r="I65" s="10"/>
      <c r="J65" s="10"/>
    </row>
    <row r="66" spans="1:10" x14ac:dyDescent="0.25">
      <c r="A66" s="21" t="s">
        <v>75</v>
      </c>
      <c r="B66" s="21"/>
      <c r="C66" s="17">
        <v>73.44</v>
      </c>
      <c r="D66" s="17">
        <v>73.78</v>
      </c>
      <c r="E66" s="17">
        <v>62.28</v>
      </c>
      <c r="F66" s="17">
        <v>66.599999999999994</v>
      </c>
      <c r="G66" s="17">
        <f>12/12*C66</f>
        <v>73.44</v>
      </c>
      <c r="H66" s="9"/>
      <c r="I66" s="10"/>
      <c r="J66" s="10"/>
    </row>
    <row r="67" spans="1:10" x14ac:dyDescent="0.25">
      <c r="A67" s="21" t="s">
        <v>76</v>
      </c>
      <c r="B67" s="21"/>
      <c r="C67" s="17">
        <v>288.51</v>
      </c>
      <c r="D67" s="17">
        <v>290.67</v>
      </c>
      <c r="E67" s="17">
        <v>300.02</v>
      </c>
      <c r="F67" s="17">
        <v>295.08</v>
      </c>
      <c r="G67" s="17">
        <f>12/12*C67</f>
        <v>288.51</v>
      </c>
      <c r="H67" s="9"/>
      <c r="I67" s="10"/>
      <c r="J67" s="10"/>
    </row>
    <row r="68" spans="1:10" x14ac:dyDescent="0.25">
      <c r="A68" s="21" t="s">
        <v>77</v>
      </c>
      <c r="B68" s="21"/>
      <c r="C68" s="17">
        <v>89.91</v>
      </c>
      <c r="D68" s="17">
        <v>84.31</v>
      </c>
      <c r="E68" s="17">
        <v>120.96</v>
      </c>
      <c r="F68" s="17">
        <v>83.12</v>
      </c>
      <c r="G68" s="17">
        <f>12/12*C68</f>
        <v>89.91</v>
      </c>
      <c r="H68" s="9"/>
      <c r="I68" s="10"/>
      <c r="J68" s="10"/>
    </row>
    <row r="69" spans="1:10" x14ac:dyDescent="0.25">
      <c r="C69" s="9"/>
      <c r="D69" s="9"/>
      <c r="E69" s="9"/>
      <c r="F69" s="9"/>
      <c r="G69" s="9"/>
      <c r="H69" s="9"/>
      <c r="I69" s="10"/>
      <c r="J69" s="10"/>
    </row>
    <row r="71" spans="1:10" x14ac:dyDescent="0.25">
      <c r="A71" s="22" t="s">
        <v>61</v>
      </c>
      <c r="B71" s="23"/>
    </row>
    <row r="72" spans="1:10" x14ac:dyDescent="0.25">
      <c r="A72" s="3" t="s">
        <v>78</v>
      </c>
      <c r="B72" s="1" t="s">
        <v>345</v>
      </c>
    </row>
    <row r="73" spans="1:10" x14ac:dyDescent="0.25">
      <c r="A73" s="3" t="s">
        <v>71</v>
      </c>
      <c r="B73" s="1" t="s">
        <v>80</v>
      </c>
    </row>
    <row r="74" spans="1:10" x14ac:dyDescent="0.25">
      <c r="A74" s="3" t="s">
        <v>72</v>
      </c>
      <c r="B74" s="1" t="s">
        <v>81</v>
      </c>
    </row>
    <row r="75" spans="1:10" x14ac:dyDescent="0.25">
      <c r="A75" s="3" t="s">
        <v>73</v>
      </c>
      <c r="B75" s="1" t="s">
        <v>82</v>
      </c>
    </row>
  </sheetData>
  <mergeCells count="19">
    <mergeCell ref="C7:G7"/>
    <mergeCell ref="A44:B44"/>
    <mergeCell ref="A45:B45"/>
    <mergeCell ref="A50:B50"/>
    <mergeCell ref="A51:B51"/>
    <mergeCell ref="J59:J60"/>
    <mergeCell ref="A60:B60"/>
    <mergeCell ref="A64:B64"/>
    <mergeCell ref="A65:B65"/>
    <mergeCell ref="A52:B52"/>
    <mergeCell ref="A53:B53"/>
    <mergeCell ref="A58:B58"/>
    <mergeCell ref="A59:B59"/>
    <mergeCell ref="H59:H60"/>
    <mergeCell ref="A66:B66"/>
    <mergeCell ref="A67:B67"/>
    <mergeCell ref="A68:B68"/>
    <mergeCell ref="A71:B71"/>
    <mergeCell ref="I59:I60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2:J73"/>
  <sheetViews>
    <sheetView workbookViewId="0">
      <selection activeCell="H5" sqref="H5"/>
    </sheetView>
  </sheetViews>
  <sheetFormatPr defaultRowHeight="15" x14ac:dyDescent="0.25"/>
  <cols>
    <col min="1" max="1" width="28.42578125" bestFit="1" customWidth="1"/>
    <col min="2" max="2" width="59.5703125" bestFit="1" customWidth="1"/>
    <col min="3" max="3" width="12.7109375" bestFit="1" customWidth="1"/>
    <col min="4" max="4" width="23" bestFit="1" customWidth="1"/>
    <col min="5" max="5" width="13.85546875" bestFit="1" customWidth="1"/>
    <col min="6" max="6" width="8.5703125" bestFit="1" customWidth="1"/>
    <col min="7" max="7" width="47.7109375" bestFit="1" customWidth="1"/>
    <col min="8" max="9" width="16.7109375" bestFit="1" customWidth="1"/>
    <col min="10" max="10" width="24.42578125" bestFit="1" customWidth="1"/>
  </cols>
  <sheetData>
    <row r="2" spans="1:10" ht="18.75" x14ac:dyDescent="0.3">
      <c r="A2" s="3" t="s">
        <v>0</v>
      </c>
      <c r="B2" s="4" t="s">
        <v>346</v>
      </c>
    </row>
    <row r="3" spans="1:10" x14ac:dyDescent="0.25">
      <c r="A3" s="3" t="s">
        <v>2</v>
      </c>
      <c r="B3" s="1" t="s">
        <v>3</v>
      </c>
    </row>
    <row r="4" spans="1:10" x14ac:dyDescent="0.25">
      <c r="A4" s="3" t="s">
        <v>4</v>
      </c>
      <c r="B4" s="20">
        <v>1924</v>
      </c>
    </row>
    <row r="7" spans="1:10" x14ac:dyDescent="0.25">
      <c r="C7" s="22" t="s">
        <v>5</v>
      </c>
      <c r="D7" s="21"/>
      <c r="E7" s="21"/>
      <c r="F7" s="21"/>
      <c r="G7" s="21"/>
    </row>
    <row r="8" spans="1:10" x14ac:dyDescent="0.25">
      <c r="A8" s="3" t="s">
        <v>6</v>
      </c>
      <c r="B8" s="3" t="s">
        <v>7</v>
      </c>
      <c r="C8" s="15" t="s">
        <v>8</v>
      </c>
      <c r="D8" s="15" t="s">
        <v>9</v>
      </c>
      <c r="E8" s="15" t="s">
        <v>10</v>
      </c>
      <c r="F8" s="15" t="s">
        <v>11</v>
      </c>
      <c r="G8" s="15" t="s">
        <v>12</v>
      </c>
      <c r="H8" s="15" t="s">
        <v>13</v>
      </c>
      <c r="I8" s="15" t="s">
        <v>14</v>
      </c>
      <c r="J8" s="15" t="s">
        <v>15</v>
      </c>
    </row>
    <row r="9" spans="1:10" x14ac:dyDescent="0.25">
      <c r="A9" s="1" t="s">
        <v>16</v>
      </c>
      <c r="B9" s="1" t="s">
        <v>18</v>
      </c>
      <c r="C9" s="11">
        <v>1080</v>
      </c>
      <c r="D9" s="11"/>
      <c r="E9" s="11"/>
      <c r="F9" s="11">
        <v>5600</v>
      </c>
      <c r="G9" s="11">
        <f t="shared" ref="G9:G37" si="0">SUM(C9:F9)</f>
        <v>6680</v>
      </c>
      <c r="H9" s="17">
        <f t="shared" ref="H9:H37" si="1">ROUND(G9/1924,2)</f>
        <v>3.47</v>
      </c>
      <c r="I9" s="16">
        <f t="shared" ref="I9:I37" si="2">ROUND(G9/$G$38,3)</f>
        <v>8.0000000000000002E-3</v>
      </c>
      <c r="J9" s="16">
        <f>ROUND(G9/6620-1,2)</f>
        <v>0.01</v>
      </c>
    </row>
    <row r="10" spans="1:10" x14ac:dyDescent="0.25">
      <c r="A10" s="1" t="s">
        <v>16</v>
      </c>
      <c r="B10" s="1" t="s">
        <v>19</v>
      </c>
      <c r="C10" s="11">
        <v>74130</v>
      </c>
      <c r="D10" s="11"/>
      <c r="E10" s="11"/>
      <c r="F10" s="11"/>
      <c r="G10" s="11">
        <f t="shared" si="0"/>
        <v>74130</v>
      </c>
      <c r="H10" s="17">
        <f t="shared" si="1"/>
        <v>38.53</v>
      </c>
      <c r="I10" s="16">
        <f t="shared" si="2"/>
        <v>8.5000000000000006E-2</v>
      </c>
      <c r="J10" s="16">
        <f>ROUND(G10/72860-1,2)</f>
        <v>0.02</v>
      </c>
    </row>
    <row r="11" spans="1:10" x14ac:dyDescent="0.25">
      <c r="A11" s="1" t="s">
        <v>16</v>
      </c>
      <c r="B11" s="1" t="s">
        <v>20</v>
      </c>
      <c r="C11" s="11">
        <v>93435</v>
      </c>
      <c r="D11" s="11"/>
      <c r="E11" s="11"/>
      <c r="F11" s="11"/>
      <c r="G11" s="11">
        <f t="shared" si="0"/>
        <v>93435</v>
      </c>
      <c r="H11" s="17">
        <f t="shared" si="1"/>
        <v>48.56</v>
      </c>
      <c r="I11" s="16">
        <f t="shared" si="2"/>
        <v>0.108</v>
      </c>
      <c r="J11" s="16">
        <f>ROUND(G11/96175-1,2)</f>
        <v>-0.03</v>
      </c>
    </row>
    <row r="12" spans="1:10" x14ac:dyDescent="0.25">
      <c r="A12" s="1" t="s">
        <v>16</v>
      </c>
      <c r="B12" s="1" t="s">
        <v>22</v>
      </c>
      <c r="C12" s="11"/>
      <c r="D12" s="11"/>
      <c r="E12" s="11">
        <v>2100</v>
      </c>
      <c r="F12" s="11"/>
      <c r="G12" s="11">
        <f t="shared" si="0"/>
        <v>2100</v>
      </c>
      <c r="H12" s="17">
        <f t="shared" si="1"/>
        <v>1.0900000000000001</v>
      </c>
      <c r="I12" s="16">
        <f t="shared" si="2"/>
        <v>2E-3</v>
      </c>
      <c r="J12" s="16">
        <f>ROUND(G12/2100-1,2)</f>
        <v>0</v>
      </c>
    </row>
    <row r="13" spans="1:10" x14ac:dyDescent="0.25">
      <c r="A13" s="1" t="s">
        <v>16</v>
      </c>
      <c r="B13" s="1" t="s">
        <v>24</v>
      </c>
      <c r="C13" s="11">
        <v>112330</v>
      </c>
      <c r="D13" s="11"/>
      <c r="E13" s="11"/>
      <c r="F13" s="11"/>
      <c r="G13" s="11">
        <f t="shared" si="0"/>
        <v>112330</v>
      </c>
      <c r="H13" s="17">
        <f t="shared" si="1"/>
        <v>58.38</v>
      </c>
      <c r="I13" s="16">
        <f t="shared" si="2"/>
        <v>0.13</v>
      </c>
      <c r="J13" s="16">
        <f>ROUND(G13/108055-1,2)</f>
        <v>0.04</v>
      </c>
    </row>
    <row r="14" spans="1:10" x14ac:dyDescent="0.25">
      <c r="A14" s="1" t="s">
        <v>16</v>
      </c>
      <c r="B14" s="1" t="s">
        <v>25</v>
      </c>
      <c r="C14" s="11"/>
      <c r="D14" s="11"/>
      <c r="E14" s="11">
        <v>2420</v>
      </c>
      <c r="F14" s="11"/>
      <c r="G14" s="11">
        <f t="shared" si="0"/>
        <v>2420</v>
      </c>
      <c r="H14" s="17">
        <f t="shared" si="1"/>
        <v>1.26</v>
      </c>
      <c r="I14" s="16">
        <f t="shared" si="2"/>
        <v>3.0000000000000001E-3</v>
      </c>
      <c r="J14" s="16">
        <f>ROUND(G14/2985-1,2)</f>
        <v>-0.19</v>
      </c>
    </row>
    <row r="15" spans="1:10" x14ac:dyDescent="0.25">
      <c r="A15" s="1" t="s">
        <v>16</v>
      </c>
      <c r="B15" s="1" t="s">
        <v>26</v>
      </c>
      <c r="C15" s="11">
        <v>172640</v>
      </c>
      <c r="D15" s="11"/>
      <c r="E15" s="11"/>
      <c r="F15" s="11"/>
      <c r="G15" s="11">
        <f t="shared" si="0"/>
        <v>172640</v>
      </c>
      <c r="H15" s="17">
        <f t="shared" si="1"/>
        <v>89.73</v>
      </c>
      <c r="I15" s="16">
        <f t="shared" si="2"/>
        <v>0.19900000000000001</v>
      </c>
      <c r="J15" s="16">
        <f>ROUND(G15/180270-1,2)</f>
        <v>-0.04</v>
      </c>
    </row>
    <row r="16" spans="1:10" x14ac:dyDescent="0.25">
      <c r="A16" s="1" t="s">
        <v>16</v>
      </c>
      <c r="B16" s="1" t="s">
        <v>27</v>
      </c>
      <c r="C16" s="11"/>
      <c r="D16" s="11"/>
      <c r="E16" s="11">
        <v>945</v>
      </c>
      <c r="F16" s="11"/>
      <c r="G16" s="11">
        <f t="shared" si="0"/>
        <v>945</v>
      </c>
      <c r="H16" s="17">
        <f t="shared" si="1"/>
        <v>0.49</v>
      </c>
      <c r="I16" s="16">
        <f t="shared" si="2"/>
        <v>1E-3</v>
      </c>
      <c r="J16" s="16">
        <f>ROUND(G16/674-1,2)</f>
        <v>0.4</v>
      </c>
    </row>
    <row r="17" spans="1:10" x14ac:dyDescent="0.25">
      <c r="A17" s="1" t="s">
        <v>16</v>
      </c>
      <c r="B17" s="1" t="s">
        <v>28</v>
      </c>
      <c r="C17" s="11"/>
      <c r="D17" s="11"/>
      <c r="E17" s="11">
        <v>349</v>
      </c>
      <c r="F17" s="11"/>
      <c r="G17" s="11">
        <f t="shared" si="0"/>
        <v>349</v>
      </c>
      <c r="H17" s="17">
        <f t="shared" si="1"/>
        <v>0.18</v>
      </c>
      <c r="I17" s="16">
        <f t="shared" si="2"/>
        <v>0</v>
      </c>
      <c r="J17" s="16">
        <f>ROUND(G17/627-1,2)</f>
        <v>-0.44</v>
      </c>
    </row>
    <row r="18" spans="1:10" x14ac:dyDescent="0.25">
      <c r="A18" s="1" t="s">
        <v>16</v>
      </c>
      <c r="B18" s="1" t="s">
        <v>30</v>
      </c>
      <c r="C18" s="11"/>
      <c r="D18" s="11"/>
      <c r="E18" s="11">
        <v>1610</v>
      </c>
      <c r="F18" s="11"/>
      <c r="G18" s="11">
        <f t="shared" si="0"/>
        <v>1610</v>
      </c>
      <c r="H18" s="17">
        <f t="shared" si="1"/>
        <v>0.84</v>
      </c>
      <c r="I18" s="16">
        <f t="shared" si="2"/>
        <v>2E-3</v>
      </c>
      <c r="J18" s="16">
        <f>ROUND(G18/5450-1,2)</f>
        <v>-0.7</v>
      </c>
    </row>
    <row r="19" spans="1:10" x14ac:dyDescent="0.25">
      <c r="A19" s="1" t="s">
        <v>16</v>
      </c>
      <c r="B19" s="1" t="s">
        <v>31</v>
      </c>
      <c r="C19" s="11"/>
      <c r="D19" s="11"/>
      <c r="E19" s="11">
        <v>660</v>
      </c>
      <c r="F19" s="11"/>
      <c r="G19" s="11">
        <f t="shared" si="0"/>
        <v>660</v>
      </c>
      <c r="H19" s="17">
        <f t="shared" si="1"/>
        <v>0.34</v>
      </c>
      <c r="I19" s="16">
        <f t="shared" si="2"/>
        <v>1E-3</v>
      </c>
      <c r="J19" s="16">
        <f>ROUND(G19/650-1,2)</f>
        <v>0.02</v>
      </c>
    </row>
    <row r="20" spans="1:10" x14ac:dyDescent="0.25">
      <c r="A20" s="1" t="s">
        <v>16</v>
      </c>
      <c r="B20" s="1" t="s">
        <v>33</v>
      </c>
      <c r="C20" s="11"/>
      <c r="D20" s="11"/>
      <c r="E20" s="11">
        <v>640</v>
      </c>
      <c r="F20" s="11"/>
      <c r="G20" s="11">
        <f t="shared" si="0"/>
        <v>640</v>
      </c>
      <c r="H20" s="17">
        <f t="shared" si="1"/>
        <v>0.33</v>
      </c>
      <c r="I20" s="16">
        <f t="shared" si="2"/>
        <v>1E-3</v>
      </c>
      <c r="J20" s="16">
        <f>ROUND(G20/810-1,2)</f>
        <v>-0.21</v>
      </c>
    </row>
    <row r="21" spans="1:10" x14ac:dyDescent="0.25">
      <c r="A21" s="1" t="s">
        <v>16</v>
      </c>
      <c r="B21" s="1" t="s">
        <v>34</v>
      </c>
      <c r="C21" s="11"/>
      <c r="D21" s="11">
        <v>25</v>
      </c>
      <c r="E21" s="11">
        <v>114</v>
      </c>
      <c r="F21" s="11"/>
      <c r="G21" s="11">
        <f t="shared" si="0"/>
        <v>139</v>
      </c>
      <c r="H21" s="17">
        <f t="shared" si="1"/>
        <v>7.0000000000000007E-2</v>
      </c>
      <c r="I21" s="16">
        <f t="shared" si="2"/>
        <v>0</v>
      </c>
      <c r="J21" s="16">
        <f>ROUND(G21/147-1,2)</f>
        <v>-0.05</v>
      </c>
    </row>
    <row r="22" spans="1:10" x14ac:dyDescent="0.25">
      <c r="A22" s="1" t="s">
        <v>16</v>
      </c>
      <c r="B22" s="1" t="s">
        <v>35</v>
      </c>
      <c r="C22" s="11"/>
      <c r="D22" s="11"/>
      <c r="E22" s="11">
        <v>1570</v>
      </c>
      <c r="F22" s="11"/>
      <c r="G22" s="11">
        <f t="shared" si="0"/>
        <v>1570</v>
      </c>
      <c r="H22" s="17">
        <f t="shared" si="1"/>
        <v>0.82</v>
      </c>
      <c r="I22" s="16">
        <f t="shared" si="2"/>
        <v>2E-3</v>
      </c>
      <c r="J22" s="16">
        <f>ROUND(G22/1240-1,2)</f>
        <v>0.27</v>
      </c>
    </row>
    <row r="23" spans="1:10" x14ac:dyDescent="0.25">
      <c r="A23" s="1" t="s">
        <v>16</v>
      </c>
      <c r="B23" s="1" t="s">
        <v>36</v>
      </c>
      <c r="C23" s="11"/>
      <c r="D23" s="11"/>
      <c r="E23" s="11">
        <v>730</v>
      </c>
      <c r="F23" s="11"/>
      <c r="G23" s="11">
        <f t="shared" si="0"/>
        <v>730</v>
      </c>
      <c r="H23" s="17">
        <f t="shared" si="1"/>
        <v>0.38</v>
      </c>
      <c r="I23" s="16">
        <f t="shared" si="2"/>
        <v>1E-3</v>
      </c>
      <c r="J23" s="16">
        <f>ROUND(G23/50-1,2)</f>
        <v>13.6</v>
      </c>
    </row>
    <row r="24" spans="1:10" x14ac:dyDescent="0.25">
      <c r="A24" s="1" t="s">
        <v>16</v>
      </c>
      <c r="B24" s="1" t="s">
        <v>39</v>
      </c>
      <c r="C24" s="11"/>
      <c r="D24" s="11"/>
      <c r="E24" s="11">
        <v>3940</v>
      </c>
      <c r="F24" s="11"/>
      <c r="G24" s="11">
        <f t="shared" si="0"/>
        <v>3940</v>
      </c>
      <c r="H24" s="17">
        <f t="shared" si="1"/>
        <v>2.0499999999999998</v>
      </c>
      <c r="I24" s="16">
        <f t="shared" si="2"/>
        <v>5.0000000000000001E-3</v>
      </c>
      <c r="J24" s="16">
        <f>ROUND(G24/1880-1,2)</f>
        <v>1.1000000000000001</v>
      </c>
    </row>
    <row r="25" spans="1:10" x14ac:dyDescent="0.25">
      <c r="A25" s="1" t="s">
        <v>16</v>
      </c>
      <c r="B25" s="1" t="s">
        <v>40</v>
      </c>
      <c r="C25" s="11"/>
      <c r="D25" s="11"/>
      <c r="E25" s="11">
        <v>59660</v>
      </c>
      <c r="F25" s="11"/>
      <c r="G25" s="11">
        <f t="shared" si="0"/>
        <v>59660</v>
      </c>
      <c r="H25" s="17">
        <f t="shared" si="1"/>
        <v>31.01</v>
      </c>
      <c r="I25" s="16">
        <f t="shared" si="2"/>
        <v>6.9000000000000006E-2</v>
      </c>
      <c r="J25" s="16">
        <f>ROUND(G25/52800-1,2)</f>
        <v>0.13</v>
      </c>
    </row>
    <row r="26" spans="1:10" x14ac:dyDescent="0.25">
      <c r="A26" s="1" t="s">
        <v>16</v>
      </c>
      <c r="B26" s="1" t="s">
        <v>41</v>
      </c>
      <c r="C26" s="11"/>
      <c r="D26" s="11"/>
      <c r="E26" s="11">
        <v>8930</v>
      </c>
      <c r="F26" s="11"/>
      <c r="G26" s="11">
        <f t="shared" si="0"/>
        <v>8930</v>
      </c>
      <c r="H26" s="17">
        <f t="shared" si="1"/>
        <v>4.6399999999999997</v>
      </c>
      <c r="I26" s="16">
        <f t="shared" si="2"/>
        <v>0.01</v>
      </c>
      <c r="J26" s="16">
        <f>ROUND(G26/8600-1,2)</f>
        <v>0.04</v>
      </c>
    </row>
    <row r="27" spans="1:10" x14ac:dyDescent="0.25">
      <c r="A27" s="1" t="s">
        <v>16</v>
      </c>
      <c r="B27" s="1" t="s">
        <v>42</v>
      </c>
      <c r="C27" s="11"/>
      <c r="D27" s="11"/>
      <c r="E27" s="11">
        <v>27350</v>
      </c>
      <c r="F27" s="11"/>
      <c r="G27" s="11">
        <f t="shared" si="0"/>
        <v>27350</v>
      </c>
      <c r="H27" s="17">
        <f t="shared" si="1"/>
        <v>14.22</v>
      </c>
      <c r="I27" s="16">
        <f t="shared" si="2"/>
        <v>3.2000000000000001E-2</v>
      </c>
      <c r="J27" s="16">
        <f>ROUND(G27/28580-1,2)</f>
        <v>-0.04</v>
      </c>
    </row>
    <row r="28" spans="1:10" x14ac:dyDescent="0.25">
      <c r="A28" s="1" t="s">
        <v>16</v>
      </c>
      <c r="B28" s="1" t="s">
        <v>44</v>
      </c>
      <c r="C28" s="11"/>
      <c r="D28" s="11"/>
      <c r="E28" s="11">
        <v>54850</v>
      </c>
      <c r="F28" s="11"/>
      <c r="G28" s="11">
        <f t="shared" si="0"/>
        <v>54850</v>
      </c>
      <c r="H28" s="17">
        <f t="shared" si="1"/>
        <v>28.51</v>
      </c>
      <c r="I28" s="16">
        <f t="shared" si="2"/>
        <v>6.3E-2</v>
      </c>
      <c r="J28" s="16">
        <f>ROUND(G28/40100-1,2)</f>
        <v>0.37</v>
      </c>
    </row>
    <row r="29" spans="1:10" x14ac:dyDescent="0.25">
      <c r="A29" s="1" t="s">
        <v>16</v>
      </c>
      <c r="B29" s="1" t="s">
        <v>37</v>
      </c>
      <c r="C29" s="11"/>
      <c r="D29" s="11"/>
      <c r="E29" s="11"/>
      <c r="F29" s="11"/>
      <c r="G29" s="11">
        <f t="shared" si="0"/>
        <v>0</v>
      </c>
      <c r="H29" s="17">
        <f t="shared" si="1"/>
        <v>0</v>
      </c>
      <c r="I29" s="16">
        <f t="shared" si="2"/>
        <v>0</v>
      </c>
      <c r="J29" s="16">
        <f>ROUND(G29/670-1,2)</f>
        <v>-1</v>
      </c>
    </row>
    <row r="30" spans="1:10" x14ac:dyDescent="0.25">
      <c r="A30" s="1" t="s">
        <v>16</v>
      </c>
      <c r="B30" s="1" t="s">
        <v>32</v>
      </c>
      <c r="C30" s="11"/>
      <c r="D30" s="11"/>
      <c r="E30" s="11"/>
      <c r="F30" s="11"/>
      <c r="G30" s="11">
        <f t="shared" si="0"/>
        <v>0</v>
      </c>
      <c r="H30" s="17">
        <f t="shared" si="1"/>
        <v>0</v>
      </c>
      <c r="I30" s="16">
        <f t="shared" si="2"/>
        <v>0</v>
      </c>
      <c r="J30" s="16"/>
    </row>
    <row r="31" spans="1:10" x14ac:dyDescent="0.25">
      <c r="A31" s="1" t="s">
        <v>16</v>
      </c>
      <c r="B31" s="1" t="s">
        <v>23</v>
      </c>
      <c r="C31" s="11"/>
      <c r="D31" s="11"/>
      <c r="E31" s="11"/>
      <c r="F31" s="11"/>
      <c r="G31" s="11">
        <f t="shared" si="0"/>
        <v>0</v>
      </c>
      <c r="H31" s="17">
        <f t="shared" si="1"/>
        <v>0</v>
      </c>
      <c r="I31" s="16">
        <f t="shared" si="2"/>
        <v>0</v>
      </c>
      <c r="J31" s="16"/>
    </row>
    <row r="32" spans="1:10" x14ac:dyDescent="0.25">
      <c r="A32" s="1" t="s">
        <v>16</v>
      </c>
      <c r="B32" s="1" t="s">
        <v>17</v>
      </c>
      <c r="C32" s="11"/>
      <c r="D32" s="11"/>
      <c r="E32" s="11"/>
      <c r="F32" s="11"/>
      <c r="G32" s="11">
        <f t="shared" si="0"/>
        <v>0</v>
      </c>
      <c r="H32" s="17">
        <f t="shared" si="1"/>
        <v>0</v>
      </c>
      <c r="I32" s="16">
        <f t="shared" si="2"/>
        <v>0</v>
      </c>
      <c r="J32" s="16"/>
    </row>
    <row r="33" spans="1:10" x14ac:dyDescent="0.25">
      <c r="A33" s="1" t="s">
        <v>16</v>
      </c>
      <c r="B33" s="1" t="s">
        <v>29</v>
      </c>
      <c r="C33" s="11"/>
      <c r="D33" s="11"/>
      <c r="E33" s="11"/>
      <c r="F33" s="11"/>
      <c r="G33" s="11">
        <f t="shared" si="0"/>
        <v>0</v>
      </c>
      <c r="H33" s="17">
        <f t="shared" si="1"/>
        <v>0</v>
      </c>
      <c r="I33" s="16">
        <f t="shared" si="2"/>
        <v>0</v>
      </c>
      <c r="J33" s="16"/>
    </row>
    <row r="34" spans="1:10" x14ac:dyDescent="0.25">
      <c r="A34" s="1" t="s">
        <v>16</v>
      </c>
      <c r="B34" s="1" t="s">
        <v>92</v>
      </c>
      <c r="C34" s="11"/>
      <c r="D34" s="11"/>
      <c r="E34" s="11"/>
      <c r="F34" s="11"/>
      <c r="G34" s="11">
        <f t="shared" si="0"/>
        <v>0</v>
      </c>
      <c r="H34" s="17">
        <f t="shared" si="1"/>
        <v>0</v>
      </c>
      <c r="I34" s="16">
        <f t="shared" si="2"/>
        <v>0</v>
      </c>
      <c r="J34" s="16"/>
    </row>
    <row r="35" spans="1:10" x14ac:dyDescent="0.25">
      <c r="A35" s="1" t="s">
        <v>45</v>
      </c>
      <c r="B35" s="1" t="s">
        <v>46</v>
      </c>
      <c r="C35" s="11">
        <v>183685</v>
      </c>
      <c r="D35" s="11"/>
      <c r="E35" s="11"/>
      <c r="F35" s="11"/>
      <c r="G35" s="11">
        <f t="shared" si="0"/>
        <v>183685</v>
      </c>
      <c r="H35" s="17">
        <f t="shared" si="1"/>
        <v>95.47</v>
      </c>
      <c r="I35" s="16">
        <f t="shared" si="2"/>
        <v>0.21199999999999999</v>
      </c>
      <c r="J35" s="16">
        <f>ROUND(G35/168310-1,2)</f>
        <v>0.09</v>
      </c>
    </row>
    <row r="36" spans="1:10" x14ac:dyDescent="0.25">
      <c r="A36" s="1" t="s">
        <v>45</v>
      </c>
      <c r="B36" s="1" t="s">
        <v>47</v>
      </c>
      <c r="C36" s="11"/>
      <c r="D36" s="11"/>
      <c r="E36" s="11">
        <v>58300</v>
      </c>
      <c r="F36" s="11"/>
      <c r="G36" s="11">
        <f t="shared" si="0"/>
        <v>58300</v>
      </c>
      <c r="H36" s="17">
        <f t="shared" si="1"/>
        <v>30.3</v>
      </c>
      <c r="I36" s="16">
        <f t="shared" si="2"/>
        <v>6.7000000000000004E-2</v>
      </c>
      <c r="J36" s="16">
        <f>ROUND(G36/52940-1,2)</f>
        <v>0.1</v>
      </c>
    </row>
    <row r="37" spans="1:10" x14ac:dyDescent="0.25">
      <c r="A37" s="1" t="s">
        <v>45</v>
      </c>
      <c r="B37" s="1" t="s">
        <v>48</v>
      </c>
      <c r="C37" s="11"/>
      <c r="D37" s="11"/>
      <c r="E37" s="11"/>
      <c r="F37" s="11"/>
      <c r="G37" s="11">
        <f t="shared" si="0"/>
        <v>0</v>
      </c>
      <c r="H37" s="17">
        <f t="shared" si="1"/>
        <v>0</v>
      </c>
      <c r="I37" s="16">
        <f t="shared" si="2"/>
        <v>0</v>
      </c>
      <c r="J37" s="16">
        <f>ROUND(G37/3220-1,2)</f>
        <v>-1</v>
      </c>
    </row>
    <row r="38" spans="1:10" x14ac:dyDescent="0.25">
      <c r="A38" s="26" t="s">
        <v>12</v>
      </c>
      <c r="B38" s="26"/>
      <c r="C38" s="12">
        <f t="shared" ref="C38:H38" si="3">SUM(C8:C37)</f>
        <v>637300</v>
      </c>
      <c r="D38" s="12">
        <f t="shared" si="3"/>
        <v>25</v>
      </c>
      <c r="E38" s="12">
        <f t="shared" si="3"/>
        <v>224168</v>
      </c>
      <c r="F38" s="12">
        <f t="shared" si="3"/>
        <v>5600</v>
      </c>
      <c r="G38" s="12">
        <f t="shared" si="3"/>
        <v>867093</v>
      </c>
      <c r="H38" s="15">
        <f t="shared" si="3"/>
        <v>450.67</v>
      </c>
      <c r="I38" s="18"/>
      <c r="J38" s="18"/>
    </row>
    <row r="39" spans="1:10" x14ac:dyDescent="0.25">
      <c r="A39" s="26" t="s">
        <v>14</v>
      </c>
      <c r="B39" s="26"/>
      <c r="C39" s="13">
        <f>ROUND(C38/G38,2)</f>
        <v>0.73</v>
      </c>
      <c r="D39" s="13">
        <f>ROUND(D38/G38,2)</f>
        <v>0</v>
      </c>
      <c r="E39" s="13">
        <f>ROUND(E38/G38,2)</f>
        <v>0.26</v>
      </c>
      <c r="F39" s="13">
        <f>ROUND(F38/G38,2)</f>
        <v>0.01</v>
      </c>
      <c r="G39" s="14"/>
      <c r="H39" s="14"/>
      <c r="I39" s="18"/>
      <c r="J39" s="18"/>
    </row>
    <row r="40" spans="1:10" x14ac:dyDescent="0.25">
      <c r="A40" s="2" t="s">
        <v>53</v>
      </c>
      <c r="B40" s="2"/>
      <c r="C40" s="14"/>
      <c r="D40" s="14"/>
      <c r="E40" s="14"/>
      <c r="F40" s="14"/>
      <c r="G40" s="14"/>
      <c r="H40" s="14"/>
      <c r="I40" s="18"/>
      <c r="J40" s="18"/>
    </row>
    <row r="41" spans="1:10" x14ac:dyDescent="0.25">
      <c r="C41" s="9"/>
      <c r="D41" s="9"/>
      <c r="E41" s="9"/>
      <c r="F41" s="9"/>
      <c r="G41" s="9"/>
      <c r="H41" s="9"/>
      <c r="I41" s="10"/>
      <c r="J41" s="10"/>
    </row>
    <row r="42" spans="1:10" x14ac:dyDescent="0.25">
      <c r="C42" s="9"/>
      <c r="D42" s="9"/>
      <c r="E42" s="9"/>
      <c r="F42" s="9"/>
      <c r="G42" s="9"/>
      <c r="H42" s="9"/>
      <c r="I42" s="10"/>
      <c r="J42" s="10"/>
    </row>
    <row r="43" spans="1:10" x14ac:dyDescent="0.25">
      <c r="C43" s="9"/>
      <c r="D43" s="9"/>
      <c r="E43" s="9"/>
      <c r="F43" s="9"/>
      <c r="G43" s="9"/>
      <c r="H43" s="9"/>
      <c r="I43" s="10"/>
      <c r="J43" s="10"/>
    </row>
    <row r="44" spans="1:10" x14ac:dyDescent="0.25">
      <c r="A44" s="26" t="s">
        <v>54</v>
      </c>
      <c r="B44" s="26"/>
      <c r="C44" s="12" t="s">
        <v>8</v>
      </c>
      <c r="D44" s="12" t="s">
        <v>9</v>
      </c>
      <c r="E44" s="12" t="s">
        <v>10</v>
      </c>
      <c r="F44" s="12" t="s">
        <v>11</v>
      </c>
      <c r="G44" s="12" t="s">
        <v>12</v>
      </c>
      <c r="H44" s="15" t="s">
        <v>13</v>
      </c>
      <c r="I44" s="18"/>
      <c r="J44" s="18"/>
    </row>
    <row r="45" spans="1:10" x14ac:dyDescent="0.25">
      <c r="A45" s="21" t="s">
        <v>55</v>
      </c>
      <c r="B45" s="21"/>
      <c r="C45" s="11">
        <v>453615</v>
      </c>
      <c r="D45" s="11">
        <v>25</v>
      </c>
      <c r="E45" s="11">
        <v>165868</v>
      </c>
      <c r="F45" s="11">
        <v>5600</v>
      </c>
      <c r="G45" s="11">
        <f>SUM(C45:F45)</f>
        <v>625108</v>
      </c>
      <c r="H45" s="17">
        <f>ROUND(G45/1924,2)</f>
        <v>324.89999999999998</v>
      </c>
      <c r="I45" s="10"/>
      <c r="J45" s="10"/>
    </row>
    <row r="46" spans="1:10" x14ac:dyDescent="0.25">
      <c r="A46" s="21" t="s">
        <v>56</v>
      </c>
      <c r="B46" s="21"/>
      <c r="C46" s="11">
        <v>183685</v>
      </c>
      <c r="D46" s="11">
        <v>0</v>
      </c>
      <c r="E46" s="11">
        <v>58300</v>
      </c>
      <c r="F46" s="11">
        <v>0</v>
      </c>
      <c r="G46" s="11">
        <f>SUM(C46:F46)</f>
        <v>241985</v>
      </c>
      <c r="H46" s="17">
        <f>ROUND(G46/1924,2)</f>
        <v>125.77</v>
      </c>
      <c r="I46" s="10"/>
      <c r="J46" s="10"/>
    </row>
    <row r="47" spans="1:10" x14ac:dyDescent="0.25">
      <c r="A47" s="21" t="s">
        <v>57</v>
      </c>
      <c r="B47" s="21"/>
      <c r="C47" s="11"/>
      <c r="D47" s="11"/>
      <c r="E47" s="11"/>
      <c r="F47" s="11"/>
      <c r="G47" s="11">
        <f>SUM(C47:F47)</f>
        <v>0</v>
      </c>
      <c r="H47" s="17">
        <f>ROUND(G47/1924,2)</f>
        <v>0</v>
      </c>
      <c r="I47" s="10"/>
      <c r="J47" s="10"/>
    </row>
    <row r="48" spans="1:10" x14ac:dyDescent="0.25">
      <c r="C48" s="9"/>
      <c r="D48" s="9"/>
      <c r="E48" s="9"/>
      <c r="F48" s="9"/>
      <c r="G48" s="9"/>
      <c r="H48" s="9"/>
      <c r="I48" s="10"/>
      <c r="J48" s="10"/>
    </row>
    <row r="49" spans="1:10" x14ac:dyDescent="0.25">
      <c r="C49" s="9"/>
      <c r="D49" s="9"/>
      <c r="E49" s="9"/>
      <c r="F49" s="9"/>
      <c r="G49" s="9"/>
      <c r="H49" s="9"/>
      <c r="I49" s="10"/>
      <c r="J49" s="10"/>
    </row>
    <row r="50" spans="1:10" x14ac:dyDescent="0.25">
      <c r="C50" s="9"/>
      <c r="D50" s="9"/>
      <c r="E50" s="9"/>
      <c r="F50" s="9"/>
      <c r="G50" s="9"/>
      <c r="H50" s="9"/>
      <c r="I50" s="10"/>
      <c r="J50" s="10"/>
    </row>
    <row r="51" spans="1:10" x14ac:dyDescent="0.25">
      <c r="C51" s="9"/>
      <c r="D51" s="9"/>
      <c r="E51" s="9"/>
      <c r="F51" s="9"/>
      <c r="G51" s="9"/>
      <c r="H51" s="9"/>
      <c r="I51" s="10"/>
      <c r="J51" s="10"/>
    </row>
    <row r="52" spans="1:10" x14ac:dyDescent="0.25">
      <c r="A52" s="26" t="s">
        <v>58</v>
      </c>
      <c r="B52" s="26"/>
      <c r="C52" s="15" t="s">
        <v>2</v>
      </c>
      <c r="D52" s="15">
        <v>2024</v>
      </c>
      <c r="E52" s="15" t="s">
        <v>60</v>
      </c>
      <c r="F52" s="14"/>
      <c r="G52" s="15" t="s">
        <v>61</v>
      </c>
      <c r="H52" s="15" t="s">
        <v>2</v>
      </c>
      <c r="I52" s="13" t="s">
        <v>62</v>
      </c>
      <c r="J52" s="13" t="s">
        <v>60</v>
      </c>
    </row>
    <row r="53" spans="1:10" x14ac:dyDescent="0.25">
      <c r="A53" s="21" t="s">
        <v>59</v>
      </c>
      <c r="B53" s="21"/>
      <c r="C53" s="16">
        <f>ROUND(0.7876, 4)</f>
        <v>0.78759999999999997</v>
      </c>
      <c r="D53" s="16">
        <f>ROUND(0.7907, 4)</f>
        <v>0.79069999999999996</v>
      </c>
      <c r="E53" s="16">
        <f>ROUND(0.7856, 4)</f>
        <v>0.78559999999999997</v>
      </c>
      <c r="F53" s="9"/>
      <c r="G53" s="15" t="s">
        <v>63</v>
      </c>
      <c r="H53" s="27" t="s">
        <v>64</v>
      </c>
      <c r="I53" s="24" t="s">
        <v>65</v>
      </c>
      <c r="J53" s="24" t="s">
        <v>66</v>
      </c>
    </row>
    <row r="54" spans="1:10" x14ac:dyDescent="0.25">
      <c r="A54" s="21" t="s">
        <v>67</v>
      </c>
      <c r="B54" s="21"/>
      <c r="C54" s="16">
        <f>ROUND(0.7876, 4)</f>
        <v>0.78759999999999997</v>
      </c>
      <c r="D54" s="16">
        <f>ROUND(0.7795, 4)</f>
        <v>0.77949999999999997</v>
      </c>
      <c r="E54" s="16">
        <f>ROUND(0.7702, 4)</f>
        <v>0.7702</v>
      </c>
      <c r="F54" s="9"/>
      <c r="G54" s="15" t="s">
        <v>68</v>
      </c>
      <c r="H54" s="28"/>
      <c r="I54" s="25"/>
      <c r="J54" s="25"/>
    </row>
    <row r="55" spans="1:10" x14ac:dyDescent="0.25">
      <c r="C55" s="9"/>
      <c r="D55" s="9"/>
      <c r="E55" s="9"/>
      <c r="F55" s="9"/>
      <c r="G55" s="9"/>
      <c r="H55" s="9"/>
      <c r="I55" s="10"/>
      <c r="J55" s="10"/>
    </row>
    <row r="56" spans="1:10" x14ac:dyDescent="0.25">
      <c r="C56" s="9"/>
      <c r="D56" s="9"/>
      <c r="E56" s="9"/>
      <c r="F56" s="9"/>
      <c r="G56" s="9"/>
      <c r="H56" s="9"/>
      <c r="I56" s="10"/>
      <c r="J56" s="10"/>
    </row>
    <row r="57" spans="1:10" x14ac:dyDescent="0.25">
      <c r="C57" s="9"/>
      <c r="D57" s="9"/>
      <c r="E57" s="9"/>
      <c r="F57" s="9"/>
      <c r="G57" s="9"/>
      <c r="H57" s="9"/>
      <c r="I57" s="10"/>
      <c r="J57" s="10"/>
    </row>
    <row r="58" spans="1:10" x14ac:dyDescent="0.25">
      <c r="A58" s="26" t="s">
        <v>69</v>
      </c>
      <c r="B58" s="26"/>
      <c r="C58" s="15" t="s">
        <v>2</v>
      </c>
      <c r="D58" s="15" t="s">
        <v>347</v>
      </c>
      <c r="E58" s="15" t="s">
        <v>71</v>
      </c>
      <c r="F58" s="15" t="s">
        <v>72</v>
      </c>
      <c r="G58" s="15" t="s">
        <v>73</v>
      </c>
      <c r="H58" s="14"/>
      <c r="I58" s="18"/>
      <c r="J58" s="18"/>
    </row>
    <row r="59" spans="1:10" x14ac:dyDescent="0.25">
      <c r="A59" s="21" t="s">
        <v>74</v>
      </c>
      <c r="B59" s="21"/>
      <c r="C59" s="17">
        <v>95.47</v>
      </c>
      <c r="D59" s="17">
        <v>87.74</v>
      </c>
      <c r="E59" s="17">
        <v>96.15</v>
      </c>
      <c r="F59" s="17">
        <v>57.94</v>
      </c>
      <c r="G59" s="17">
        <f>12/12*C59</f>
        <v>95.47</v>
      </c>
      <c r="H59" s="9"/>
      <c r="I59" s="10"/>
      <c r="J59" s="10"/>
    </row>
    <row r="60" spans="1:10" x14ac:dyDescent="0.25">
      <c r="A60" s="21" t="s">
        <v>75</v>
      </c>
      <c r="B60" s="21"/>
      <c r="C60" s="17">
        <v>89.73</v>
      </c>
      <c r="D60" s="17">
        <v>86.75</v>
      </c>
      <c r="E60" s="17">
        <v>62.28</v>
      </c>
      <c r="F60" s="17">
        <v>66.599999999999994</v>
      </c>
      <c r="G60" s="17">
        <f>12/12*C60</f>
        <v>89.73</v>
      </c>
      <c r="H60" s="9"/>
      <c r="I60" s="10"/>
      <c r="J60" s="10"/>
    </row>
    <row r="61" spans="1:10" x14ac:dyDescent="0.25">
      <c r="A61" s="21" t="s">
        <v>76</v>
      </c>
      <c r="B61" s="21"/>
      <c r="C61" s="17">
        <v>324.89999999999998</v>
      </c>
      <c r="D61" s="17">
        <v>389.78</v>
      </c>
      <c r="E61" s="17">
        <v>300.02</v>
      </c>
      <c r="F61" s="17">
        <v>295.08</v>
      </c>
      <c r="G61" s="17">
        <f>12/12*C61</f>
        <v>324.89999999999998</v>
      </c>
      <c r="H61" s="9"/>
      <c r="I61" s="10"/>
      <c r="J61" s="10"/>
    </row>
    <row r="62" spans="1:10" x14ac:dyDescent="0.25">
      <c r="A62" s="21" t="s">
        <v>77</v>
      </c>
      <c r="B62" s="21"/>
      <c r="C62" s="17">
        <v>125.77</v>
      </c>
      <c r="D62" s="17">
        <v>120.89</v>
      </c>
      <c r="E62" s="17">
        <v>120.96</v>
      </c>
      <c r="F62" s="17">
        <v>83.12</v>
      </c>
      <c r="G62" s="17">
        <f>12/12*C62</f>
        <v>125.77</v>
      </c>
      <c r="H62" s="9"/>
      <c r="I62" s="10"/>
      <c r="J62" s="10"/>
    </row>
    <row r="63" spans="1:10" x14ac:dyDescent="0.25">
      <c r="C63" s="9"/>
      <c r="D63" s="9"/>
      <c r="E63" s="9"/>
      <c r="F63" s="9"/>
      <c r="G63" s="9"/>
      <c r="H63" s="9"/>
      <c r="I63" s="10"/>
      <c r="J63" s="10"/>
    </row>
    <row r="64" spans="1:10" x14ac:dyDescent="0.25">
      <c r="C64" s="9"/>
      <c r="D64" s="9"/>
      <c r="E64" s="9"/>
      <c r="F64" s="9"/>
      <c r="G64" s="9"/>
      <c r="H64" s="9"/>
      <c r="I64" s="10"/>
      <c r="J64" s="10"/>
    </row>
    <row r="65" spans="1:10" x14ac:dyDescent="0.25">
      <c r="A65" s="22" t="s">
        <v>61</v>
      </c>
      <c r="B65" s="23"/>
      <c r="C65" s="9"/>
      <c r="D65" s="9"/>
      <c r="E65" s="9"/>
      <c r="F65" s="9"/>
      <c r="G65" s="9"/>
      <c r="H65" s="9"/>
      <c r="I65" s="10"/>
      <c r="J65" s="10"/>
    </row>
    <row r="66" spans="1:10" x14ac:dyDescent="0.25">
      <c r="A66" s="3" t="s">
        <v>78</v>
      </c>
      <c r="B66" s="1" t="s">
        <v>348</v>
      </c>
      <c r="C66" s="9"/>
      <c r="D66" s="9"/>
      <c r="E66" s="9"/>
      <c r="F66" s="9"/>
      <c r="G66" s="9"/>
      <c r="H66" s="9"/>
      <c r="I66" s="10"/>
      <c r="J66" s="10"/>
    </row>
    <row r="67" spans="1:10" x14ac:dyDescent="0.25">
      <c r="A67" s="3" t="s">
        <v>71</v>
      </c>
      <c r="B67" s="1" t="s">
        <v>80</v>
      </c>
      <c r="C67" s="9"/>
      <c r="D67" s="9"/>
      <c r="E67" s="9"/>
      <c r="F67" s="9"/>
      <c r="G67" s="9"/>
      <c r="H67" s="9"/>
      <c r="I67" s="10"/>
      <c r="J67" s="10"/>
    </row>
    <row r="68" spans="1:10" x14ac:dyDescent="0.25">
      <c r="A68" s="3" t="s">
        <v>72</v>
      </c>
      <c r="B68" s="1" t="s">
        <v>81</v>
      </c>
      <c r="C68" s="9"/>
      <c r="D68" s="9"/>
      <c r="E68" s="9"/>
      <c r="F68" s="9"/>
      <c r="G68" s="9"/>
      <c r="H68" s="9"/>
      <c r="I68" s="10"/>
      <c r="J68" s="10"/>
    </row>
    <row r="69" spans="1:10" x14ac:dyDescent="0.25">
      <c r="A69" s="3" t="s">
        <v>73</v>
      </c>
      <c r="B69" s="1" t="s">
        <v>82</v>
      </c>
      <c r="C69" s="9"/>
      <c r="D69" s="9"/>
      <c r="E69" s="9"/>
      <c r="F69" s="9"/>
      <c r="G69" s="9"/>
      <c r="H69" s="9"/>
      <c r="I69" s="10"/>
      <c r="J69" s="10"/>
    </row>
    <row r="70" spans="1:10" x14ac:dyDescent="0.25">
      <c r="C70" s="9"/>
      <c r="D70" s="9"/>
      <c r="E70" s="9"/>
      <c r="F70" s="9"/>
      <c r="G70" s="9"/>
      <c r="H70" s="9"/>
      <c r="I70" s="10"/>
      <c r="J70" s="10"/>
    </row>
    <row r="71" spans="1:10" x14ac:dyDescent="0.25">
      <c r="C71" s="9"/>
      <c r="D71" s="9"/>
      <c r="E71" s="9"/>
      <c r="F71" s="9"/>
      <c r="G71" s="9"/>
      <c r="H71" s="9"/>
      <c r="I71" s="10"/>
      <c r="J71" s="10"/>
    </row>
    <row r="72" spans="1:10" x14ac:dyDescent="0.25">
      <c r="C72" s="9"/>
      <c r="D72" s="9"/>
      <c r="E72" s="9"/>
      <c r="F72" s="9"/>
      <c r="G72" s="9"/>
      <c r="H72" s="9"/>
      <c r="I72" s="10"/>
      <c r="J72" s="10"/>
    </row>
    <row r="73" spans="1:10" x14ac:dyDescent="0.25">
      <c r="C73" s="9"/>
      <c r="D73" s="9"/>
      <c r="E73" s="9"/>
      <c r="F73" s="9"/>
      <c r="G73" s="9"/>
      <c r="H73" s="9"/>
      <c r="I73" s="10"/>
      <c r="J73" s="10"/>
    </row>
  </sheetData>
  <mergeCells count="19">
    <mergeCell ref="C7:G7"/>
    <mergeCell ref="A38:B38"/>
    <mergeCell ref="A39:B39"/>
    <mergeCell ref="A44:B44"/>
    <mergeCell ref="A45:B45"/>
    <mergeCell ref="J53:J54"/>
    <mergeCell ref="A54:B54"/>
    <mergeCell ref="A58:B58"/>
    <mergeCell ref="A59:B59"/>
    <mergeCell ref="A46:B46"/>
    <mergeCell ref="A47:B47"/>
    <mergeCell ref="A52:B52"/>
    <mergeCell ref="A53:B53"/>
    <mergeCell ref="H53:H54"/>
    <mergeCell ref="A60:B60"/>
    <mergeCell ref="A61:B61"/>
    <mergeCell ref="A62:B62"/>
    <mergeCell ref="A65:B65"/>
    <mergeCell ref="I53:I54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2:J73"/>
  <sheetViews>
    <sheetView workbookViewId="0">
      <selection activeCell="H5" sqref="H5"/>
    </sheetView>
  </sheetViews>
  <sheetFormatPr defaultRowHeight="15" x14ac:dyDescent="0.25"/>
  <cols>
    <col min="1" max="1" width="28.42578125" bestFit="1" customWidth="1"/>
    <col min="2" max="2" width="59.5703125" bestFit="1" customWidth="1"/>
    <col min="3" max="3" width="12.7109375" bestFit="1" customWidth="1"/>
    <col min="4" max="4" width="24.28515625" bestFit="1" customWidth="1"/>
    <col min="5" max="5" width="13.85546875" bestFit="1" customWidth="1"/>
    <col min="6" max="6" width="8.5703125" bestFit="1" customWidth="1"/>
    <col min="7" max="7" width="47.7109375" bestFit="1" customWidth="1"/>
    <col min="8" max="9" width="16.7109375" bestFit="1" customWidth="1"/>
    <col min="10" max="10" width="24.42578125" bestFit="1" customWidth="1"/>
  </cols>
  <sheetData>
    <row r="2" spans="1:10" ht="18.75" x14ac:dyDescent="0.3">
      <c r="A2" s="3" t="s">
        <v>0</v>
      </c>
      <c r="B2" s="4" t="s">
        <v>349</v>
      </c>
    </row>
    <row r="3" spans="1:10" x14ac:dyDescent="0.25">
      <c r="A3" s="3" t="s">
        <v>2</v>
      </c>
      <c r="B3" s="1" t="s">
        <v>3</v>
      </c>
    </row>
    <row r="4" spans="1:10" x14ac:dyDescent="0.25">
      <c r="A4" s="3" t="s">
        <v>4</v>
      </c>
      <c r="B4" s="20">
        <v>846</v>
      </c>
    </row>
    <row r="7" spans="1:10" x14ac:dyDescent="0.25">
      <c r="C7" s="22" t="s">
        <v>5</v>
      </c>
      <c r="D7" s="21"/>
      <c r="E7" s="21"/>
      <c r="F7" s="21"/>
      <c r="G7" s="21"/>
    </row>
    <row r="8" spans="1:10" x14ac:dyDescent="0.25">
      <c r="A8" s="3" t="s">
        <v>6</v>
      </c>
      <c r="B8" s="3" t="s">
        <v>7</v>
      </c>
      <c r="C8" s="15" t="s">
        <v>8</v>
      </c>
      <c r="D8" s="15" t="s">
        <v>9</v>
      </c>
      <c r="E8" s="15" t="s">
        <v>10</v>
      </c>
      <c r="F8" s="15" t="s">
        <v>11</v>
      </c>
      <c r="G8" s="15" t="s">
        <v>12</v>
      </c>
      <c r="H8" s="15" t="s">
        <v>13</v>
      </c>
      <c r="I8" s="15" t="s">
        <v>14</v>
      </c>
      <c r="J8" s="15" t="s">
        <v>15</v>
      </c>
    </row>
    <row r="9" spans="1:10" x14ac:dyDescent="0.25">
      <c r="A9" s="1" t="s">
        <v>16</v>
      </c>
      <c r="B9" s="1" t="s">
        <v>17</v>
      </c>
      <c r="C9" s="11"/>
      <c r="D9" s="11"/>
      <c r="E9" s="11">
        <v>57</v>
      </c>
      <c r="F9" s="11"/>
      <c r="G9" s="11">
        <f t="shared" ref="G9:G41" si="0">SUM(C9:F9)</f>
        <v>57</v>
      </c>
      <c r="H9" s="17">
        <f t="shared" ref="H9:H41" si="1">ROUND(G9/846,2)</f>
        <v>7.0000000000000007E-2</v>
      </c>
      <c r="I9" s="16">
        <f t="shared" ref="I9:I41" si="2">ROUND(G9/$G$42,3)</f>
        <v>0</v>
      </c>
      <c r="J9" s="16">
        <f>ROUND(G9/29-1,2)</f>
        <v>0.97</v>
      </c>
    </row>
    <row r="10" spans="1:10" x14ac:dyDescent="0.25">
      <c r="A10" s="1" t="s">
        <v>16</v>
      </c>
      <c r="B10" s="1" t="s">
        <v>18</v>
      </c>
      <c r="C10" s="11"/>
      <c r="D10" s="11"/>
      <c r="E10" s="11">
        <v>1295</v>
      </c>
      <c r="F10" s="11"/>
      <c r="G10" s="11">
        <f t="shared" si="0"/>
        <v>1295</v>
      </c>
      <c r="H10" s="17">
        <f t="shared" si="1"/>
        <v>1.53</v>
      </c>
      <c r="I10" s="16">
        <f t="shared" si="2"/>
        <v>4.0000000000000001E-3</v>
      </c>
      <c r="J10" s="16">
        <f>ROUND(G10/3456-1,2)</f>
        <v>-0.63</v>
      </c>
    </row>
    <row r="11" spans="1:10" x14ac:dyDescent="0.25">
      <c r="A11" s="1" t="s">
        <v>16</v>
      </c>
      <c r="B11" s="1" t="s">
        <v>19</v>
      </c>
      <c r="C11" s="11">
        <v>31260</v>
      </c>
      <c r="D11" s="11"/>
      <c r="E11" s="11">
        <v>6129</v>
      </c>
      <c r="F11" s="11"/>
      <c r="G11" s="11">
        <f t="shared" si="0"/>
        <v>37389</v>
      </c>
      <c r="H11" s="17">
        <f t="shared" si="1"/>
        <v>44.2</v>
      </c>
      <c r="I11" s="16">
        <f t="shared" si="2"/>
        <v>0.10299999999999999</v>
      </c>
      <c r="J11" s="16">
        <f>ROUND(G11/37930-1,2)</f>
        <v>-0.01</v>
      </c>
    </row>
    <row r="12" spans="1:10" x14ac:dyDescent="0.25">
      <c r="A12" s="1" t="s">
        <v>16</v>
      </c>
      <c r="B12" s="1" t="s">
        <v>20</v>
      </c>
      <c r="C12" s="11">
        <v>34410</v>
      </c>
      <c r="D12" s="11"/>
      <c r="E12" s="11">
        <v>1524</v>
      </c>
      <c r="F12" s="11">
        <v>240</v>
      </c>
      <c r="G12" s="11">
        <f t="shared" si="0"/>
        <v>36174</v>
      </c>
      <c r="H12" s="17">
        <f t="shared" si="1"/>
        <v>42.76</v>
      </c>
      <c r="I12" s="16">
        <f t="shared" si="2"/>
        <v>0.1</v>
      </c>
      <c r="J12" s="16">
        <f>ROUND(G12/44024-1,2)</f>
        <v>-0.18</v>
      </c>
    </row>
    <row r="13" spans="1:10" x14ac:dyDescent="0.25">
      <c r="A13" s="1" t="s">
        <v>16</v>
      </c>
      <c r="B13" s="1" t="s">
        <v>21</v>
      </c>
      <c r="C13" s="11"/>
      <c r="D13" s="11"/>
      <c r="E13" s="11">
        <v>105</v>
      </c>
      <c r="F13" s="11"/>
      <c r="G13" s="11">
        <f t="shared" si="0"/>
        <v>105</v>
      </c>
      <c r="H13" s="17">
        <f t="shared" si="1"/>
        <v>0.12</v>
      </c>
      <c r="I13" s="16">
        <f t="shared" si="2"/>
        <v>0</v>
      </c>
      <c r="J13" s="16">
        <f>ROUND(G13/88-1,2)</f>
        <v>0.19</v>
      </c>
    </row>
    <row r="14" spans="1:10" x14ac:dyDescent="0.25">
      <c r="A14" s="1" t="s">
        <v>16</v>
      </c>
      <c r="B14" s="1" t="s">
        <v>22</v>
      </c>
      <c r="C14" s="11"/>
      <c r="D14" s="11"/>
      <c r="E14" s="11">
        <v>355</v>
      </c>
      <c r="F14" s="11"/>
      <c r="G14" s="11">
        <f t="shared" si="0"/>
        <v>355</v>
      </c>
      <c r="H14" s="17">
        <f t="shared" si="1"/>
        <v>0.42</v>
      </c>
      <c r="I14" s="16">
        <f t="shared" si="2"/>
        <v>1E-3</v>
      </c>
      <c r="J14" s="16">
        <f>ROUND(G14/803-1,2)</f>
        <v>-0.56000000000000005</v>
      </c>
    </row>
    <row r="15" spans="1:10" x14ac:dyDescent="0.25">
      <c r="A15" s="1" t="s">
        <v>16</v>
      </c>
      <c r="B15" s="1" t="s">
        <v>23</v>
      </c>
      <c r="C15" s="11"/>
      <c r="D15" s="11"/>
      <c r="E15" s="11">
        <v>29021</v>
      </c>
      <c r="F15" s="11"/>
      <c r="G15" s="11">
        <f t="shared" si="0"/>
        <v>29021</v>
      </c>
      <c r="H15" s="17">
        <f t="shared" si="1"/>
        <v>34.299999999999997</v>
      </c>
      <c r="I15" s="16">
        <f t="shared" si="2"/>
        <v>0.08</v>
      </c>
      <c r="J15" s="16">
        <f>ROUND(G15/26465-1,2)</f>
        <v>0.1</v>
      </c>
    </row>
    <row r="16" spans="1:10" x14ac:dyDescent="0.25">
      <c r="A16" s="1" t="s">
        <v>16</v>
      </c>
      <c r="B16" s="1" t="s">
        <v>24</v>
      </c>
      <c r="C16" s="11">
        <v>32470</v>
      </c>
      <c r="D16" s="11"/>
      <c r="E16" s="11">
        <v>13951</v>
      </c>
      <c r="F16" s="11"/>
      <c r="G16" s="11">
        <f t="shared" si="0"/>
        <v>46421</v>
      </c>
      <c r="H16" s="17">
        <f t="shared" si="1"/>
        <v>54.87</v>
      </c>
      <c r="I16" s="16">
        <f t="shared" si="2"/>
        <v>0.128</v>
      </c>
      <c r="J16" s="16">
        <f>ROUND(G16/48960-1,2)</f>
        <v>-0.05</v>
      </c>
    </row>
    <row r="17" spans="1:10" x14ac:dyDescent="0.25">
      <c r="A17" s="1" t="s">
        <v>16</v>
      </c>
      <c r="B17" s="1" t="s">
        <v>25</v>
      </c>
      <c r="C17" s="11"/>
      <c r="D17" s="11"/>
      <c r="E17" s="11">
        <v>1167</v>
      </c>
      <c r="F17" s="11"/>
      <c r="G17" s="11">
        <f t="shared" si="0"/>
        <v>1167</v>
      </c>
      <c r="H17" s="17">
        <f t="shared" si="1"/>
        <v>1.38</v>
      </c>
      <c r="I17" s="16">
        <f t="shared" si="2"/>
        <v>3.0000000000000001E-3</v>
      </c>
      <c r="J17" s="16">
        <f>ROUND(G17/1703-1,2)</f>
        <v>-0.31</v>
      </c>
    </row>
    <row r="18" spans="1:10" x14ac:dyDescent="0.25">
      <c r="A18" s="1" t="s">
        <v>16</v>
      </c>
      <c r="B18" s="1" t="s">
        <v>26</v>
      </c>
      <c r="C18" s="11">
        <v>50220</v>
      </c>
      <c r="D18" s="11"/>
      <c r="E18" s="11"/>
      <c r="F18" s="11"/>
      <c r="G18" s="11">
        <f t="shared" si="0"/>
        <v>50220</v>
      </c>
      <c r="H18" s="17">
        <f t="shared" si="1"/>
        <v>59.36</v>
      </c>
      <c r="I18" s="16">
        <f t="shared" si="2"/>
        <v>0.13800000000000001</v>
      </c>
      <c r="J18" s="16">
        <f>ROUND(G18/46420-1,2)</f>
        <v>0.08</v>
      </c>
    </row>
    <row r="19" spans="1:10" x14ac:dyDescent="0.25">
      <c r="A19" s="1" t="s">
        <v>16</v>
      </c>
      <c r="B19" s="1" t="s">
        <v>27</v>
      </c>
      <c r="C19" s="11"/>
      <c r="D19" s="11"/>
      <c r="E19" s="11">
        <v>245</v>
      </c>
      <c r="F19" s="11"/>
      <c r="G19" s="11">
        <f t="shared" si="0"/>
        <v>245</v>
      </c>
      <c r="H19" s="17">
        <f t="shared" si="1"/>
        <v>0.28999999999999998</v>
      </c>
      <c r="I19" s="16">
        <f t="shared" si="2"/>
        <v>1E-3</v>
      </c>
      <c r="J19" s="16">
        <f>ROUND(G19/230-1,2)</f>
        <v>7.0000000000000007E-2</v>
      </c>
    </row>
    <row r="20" spans="1:10" x14ac:dyDescent="0.25">
      <c r="A20" s="1" t="s">
        <v>16</v>
      </c>
      <c r="B20" s="1" t="s">
        <v>28</v>
      </c>
      <c r="C20" s="11"/>
      <c r="D20" s="11"/>
      <c r="E20" s="11">
        <v>167</v>
      </c>
      <c r="F20" s="11"/>
      <c r="G20" s="11">
        <f t="shared" si="0"/>
        <v>167</v>
      </c>
      <c r="H20" s="17">
        <f t="shared" si="1"/>
        <v>0.2</v>
      </c>
      <c r="I20" s="16">
        <f t="shared" si="2"/>
        <v>0</v>
      </c>
      <c r="J20" s="16">
        <f>ROUND(G20/94-1,2)</f>
        <v>0.78</v>
      </c>
    </row>
    <row r="21" spans="1:10" x14ac:dyDescent="0.25">
      <c r="A21" s="1" t="s">
        <v>16</v>
      </c>
      <c r="B21" s="1" t="s">
        <v>29</v>
      </c>
      <c r="C21" s="11"/>
      <c r="D21" s="11"/>
      <c r="E21" s="11">
        <v>47</v>
      </c>
      <c r="F21" s="11"/>
      <c r="G21" s="11">
        <f t="shared" si="0"/>
        <v>47</v>
      </c>
      <c r="H21" s="17">
        <f t="shared" si="1"/>
        <v>0.06</v>
      </c>
      <c r="I21" s="16">
        <f t="shared" si="2"/>
        <v>0</v>
      </c>
      <c r="J21" s="16">
        <f>ROUND(G21/40-1,2)</f>
        <v>0.18</v>
      </c>
    </row>
    <row r="22" spans="1:10" x14ac:dyDescent="0.25">
      <c r="A22" s="1" t="s">
        <v>16</v>
      </c>
      <c r="B22" s="1" t="s">
        <v>30</v>
      </c>
      <c r="C22" s="11"/>
      <c r="D22" s="11"/>
      <c r="E22" s="11">
        <v>1298</v>
      </c>
      <c r="F22" s="11"/>
      <c r="G22" s="11">
        <f t="shared" si="0"/>
        <v>1298</v>
      </c>
      <c r="H22" s="17">
        <f t="shared" si="1"/>
        <v>1.53</v>
      </c>
      <c r="I22" s="16">
        <f t="shared" si="2"/>
        <v>4.0000000000000001E-3</v>
      </c>
      <c r="J22" s="16">
        <f>ROUND(G22/1354-1,2)</f>
        <v>-0.04</v>
      </c>
    </row>
    <row r="23" spans="1:10" x14ac:dyDescent="0.25">
      <c r="A23" s="1" t="s">
        <v>16</v>
      </c>
      <c r="B23" s="1" t="s">
        <v>31</v>
      </c>
      <c r="C23" s="11"/>
      <c r="D23" s="11"/>
      <c r="E23" s="11">
        <v>326</v>
      </c>
      <c r="F23" s="11"/>
      <c r="G23" s="11">
        <f t="shared" si="0"/>
        <v>326</v>
      </c>
      <c r="H23" s="17">
        <f t="shared" si="1"/>
        <v>0.39</v>
      </c>
      <c r="I23" s="16">
        <f t="shared" si="2"/>
        <v>1E-3</v>
      </c>
      <c r="J23" s="16">
        <f>ROUND(G23/358-1,2)</f>
        <v>-0.09</v>
      </c>
    </row>
    <row r="24" spans="1:10" x14ac:dyDescent="0.25">
      <c r="A24" s="1" t="s">
        <v>16</v>
      </c>
      <c r="B24" s="1" t="s">
        <v>32</v>
      </c>
      <c r="C24" s="11"/>
      <c r="D24" s="11"/>
      <c r="E24" s="11">
        <v>160</v>
      </c>
      <c r="F24" s="11"/>
      <c r="G24" s="11">
        <f t="shared" si="0"/>
        <v>160</v>
      </c>
      <c r="H24" s="17">
        <f t="shared" si="1"/>
        <v>0.19</v>
      </c>
      <c r="I24" s="16">
        <f t="shared" si="2"/>
        <v>0</v>
      </c>
      <c r="J24" s="16">
        <f>ROUND(G24/128-1,2)</f>
        <v>0.25</v>
      </c>
    </row>
    <row r="25" spans="1:10" x14ac:dyDescent="0.25">
      <c r="A25" s="1" t="s">
        <v>16</v>
      </c>
      <c r="B25" s="1" t="s">
        <v>33</v>
      </c>
      <c r="C25" s="11"/>
      <c r="D25" s="11"/>
      <c r="E25" s="11">
        <v>772</v>
      </c>
      <c r="F25" s="11"/>
      <c r="G25" s="11">
        <f t="shared" si="0"/>
        <v>772</v>
      </c>
      <c r="H25" s="17">
        <f t="shared" si="1"/>
        <v>0.91</v>
      </c>
      <c r="I25" s="16">
        <f t="shared" si="2"/>
        <v>2E-3</v>
      </c>
      <c r="J25" s="16">
        <f>ROUND(G25/423-1,2)</f>
        <v>0.83</v>
      </c>
    </row>
    <row r="26" spans="1:10" x14ac:dyDescent="0.25">
      <c r="A26" s="1" t="s">
        <v>16</v>
      </c>
      <c r="B26" s="1" t="s">
        <v>34</v>
      </c>
      <c r="C26" s="11"/>
      <c r="D26" s="11"/>
      <c r="E26" s="11">
        <v>41</v>
      </c>
      <c r="F26" s="11"/>
      <c r="G26" s="11">
        <f t="shared" si="0"/>
        <v>41</v>
      </c>
      <c r="H26" s="17">
        <f t="shared" si="1"/>
        <v>0.05</v>
      </c>
      <c r="I26" s="16">
        <f t="shared" si="2"/>
        <v>0</v>
      </c>
      <c r="J26" s="16">
        <f>ROUND(G26/139-1,2)</f>
        <v>-0.71</v>
      </c>
    </row>
    <row r="27" spans="1:10" x14ac:dyDescent="0.25">
      <c r="A27" s="1" t="s">
        <v>16</v>
      </c>
      <c r="B27" s="1" t="s">
        <v>36</v>
      </c>
      <c r="C27" s="11"/>
      <c r="D27" s="11"/>
      <c r="E27" s="11">
        <v>54</v>
      </c>
      <c r="F27" s="11"/>
      <c r="G27" s="11">
        <f t="shared" si="0"/>
        <v>54</v>
      </c>
      <c r="H27" s="17">
        <f t="shared" si="1"/>
        <v>0.06</v>
      </c>
      <c r="I27" s="16">
        <f t="shared" si="2"/>
        <v>0</v>
      </c>
      <c r="J27" s="16">
        <f>ROUND(G27/222-1,2)</f>
        <v>-0.76</v>
      </c>
    </row>
    <row r="28" spans="1:10" x14ac:dyDescent="0.25">
      <c r="A28" s="1" t="s">
        <v>16</v>
      </c>
      <c r="B28" s="1" t="s">
        <v>35</v>
      </c>
      <c r="C28" s="11"/>
      <c r="D28" s="11"/>
      <c r="E28" s="11">
        <v>743</v>
      </c>
      <c r="F28" s="11"/>
      <c r="G28" s="11">
        <f t="shared" si="0"/>
        <v>743</v>
      </c>
      <c r="H28" s="17">
        <f t="shared" si="1"/>
        <v>0.88</v>
      </c>
      <c r="I28" s="16">
        <f t="shared" si="2"/>
        <v>2E-3</v>
      </c>
      <c r="J28" s="16">
        <f>ROUND(G28/545-1,2)</f>
        <v>0.36</v>
      </c>
    </row>
    <row r="29" spans="1:10" x14ac:dyDescent="0.25">
      <c r="A29" s="1" t="s">
        <v>16</v>
      </c>
      <c r="B29" s="1" t="s">
        <v>37</v>
      </c>
      <c r="C29" s="11"/>
      <c r="D29" s="11"/>
      <c r="E29" s="11">
        <v>715</v>
      </c>
      <c r="F29" s="11"/>
      <c r="G29" s="11">
        <f t="shared" si="0"/>
        <v>715</v>
      </c>
      <c r="H29" s="17">
        <f t="shared" si="1"/>
        <v>0.85</v>
      </c>
      <c r="I29" s="16">
        <f t="shared" si="2"/>
        <v>2E-3</v>
      </c>
      <c r="J29" s="16">
        <f>ROUND(G29/970-1,2)</f>
        <v>-0.26</v>
      </c>
    </row>
    <row r="30" spans="1:10" x14ac:dyDescent="0.25">
      <c r="A30" s="1" t="s">
        <v>16</v>
      </c>
      <c r="B30" s="1" t="s">
        <v>38</v>
      </c>
      <c r="C30" s="11"/>
      <c r="D30" s="11"/>
      <c r="E30" s="11">
        <v>1408</v>
      </c>
      <c r="F30" s="11"/>
      <c r="G30" s="11">
        <f t="shared" si="0"/>
        <v>1408</v>
      </c>
      <c r="H30" s="17">
        <f t="shared" si="1"/>
        <v>1.66</v>
      </c>
      <c r="I30" s="16">
        <f t="shared" si="2"/>
        <v>4.0000000000000001E-3</v>
      </c>
      <c r="J30" s="16">
        <f>ROUND(G30/2098-1,2)</f>
        <v>-0.33</v>
      </c>
    </row>
    <row r="31" spans="1:10" x14ac:dyDescent="0.25">
      <c r="A31" s="1" t="s">
        <v>16</v>
      </c>
      <c r="B31" s="1" t="s">
        <v>39</v>
      </c>
      <c r="C31" s="11"/>
      <c r="D31" s="11"/>
      <c r="E31" s="11">
        <v>3139</v>
      </c>
      <c r="F31" s="11"/>
      <c r="G31" s="11">
        <f t="shared" si="0"/>
        <v>3139</v>
      </c>
      <c r="H31" s="17">
        <f t="shared" si="1"/>
        <v>3.71</v>
      </c>
      <c r="I31" s="16">
        <f t="shared" si="2"/>
        <v>8.9999999999999993E-3</v>
      </c>
      <c r="J31" s="16">
        <f>ROUND(G31/2659-1,2)</f>
        <v>0.18</v>
      </c>
    </row>
    <row r="32" spans="1:10" x14ac:dyDescent="0.25">
      <c r="A32" s="1" t="s">
        <v>16</v>
      </c>
      <c r="B32" s="1" t="s">
        <v>40</v>
      </c>
      <c r="C32" s="11"/>
      <c r="D32" s="11"/>
      <c r="E32" s="11">
        <v>26752</v>
      </c>
      <c r="F32" s="11"/>
      <c r="G32" s="11">
        <f t="shared" si="0"/>
        <v>26752</v>
      </c>
      <c r="H32" s="17">
        <f t="shared" si="1"/>
        <v>31.62</v>
      </c>
      <c r="I32" s="16">
        <f t="shared" si="2"/>
        <v>7.3999999999999996E-2</v>
      </c>
      <c r="J32" s="16">
        <f>ROUND(G32/31660-1,2)</f>
        <v>-0.16</v>
      </c>
    </row>
    <row r="33" spans="1:10" x14ac:dyDescent="0.25">
      <c r="A33" s="1" t="s">
        <v>16</v>
      </c>
      <c r="B33" s="1" t="s">
        <v>41</v>
      </c>
      <c r="C33" s="11"/>
      <c r="D33" s="11"/>
      <c r="E33" s="11">
        <v>2550</v>
      </c>
      <c r="F33" s="11"/>
      <c r="G33" s="11">
        <f t="shared" si="0"/>
        <v>2550</v>
      </c>
      <c r="H33" s="17">
        <f t="shared" si="1"/>
        <v>3.01</v>
      </c>
      <c r="I33" s="16">
        <f t="shared" si="2"/>
        <v>7.0000000000000001E-3</v>
      </c>
      <c r="J33" s="16">
        <f>ROUND(G33/2540-1,2)</f>
        <v>0</v>
      </c>
    </row>
    <row r="34" spans="1:10" x14ac:dyDescent="0.25">
      <c r="A34" s="1" t="s">
        <v>16</v>
      </c>
      <c r="B34" s="1" t="s">
        <v>42</v>
      </c>
      <c r="C34" s="11"/>
      <c r="D34" s="11"/>
      <c r="E34" s="11">
        <v>10660</v>
      </c>
      <c r="F34" s="11"/>
      <c r="G34" s="11">
        <f t="shared" si="0"/>
        <v>10660</v>
      </c>
      <c r="H34" s="17">
        <f t="shared" si="1"/>
        <v>12.6</v>
      </c>
      <c r="I34" s="16">
        <f t="shared" si="2"/>
        <v>2.9000000000000001E-2</v>
      </c>
      <c r="J34" s="16">
        <f>ROUND(G34/10273-1,2)</f>
        <v>0.04</v>
      </c>
    </row>
    <row r="35" spans="1:10" x14ac:dyDescent="0.25">
      <c r="A35" s="1" t="s">
        <v>16</v>
      </c>
      <c r="B35" s="1" t="s">
        <v>43</v>
      </c>
      <c r="C35" s="11"/>
      <c r="D35" s="11"/>
      <c r="E35" s="11">
        <v>16</v>
      </c>
      <c r="F35" s="11"/>
      <c r="G35" s="11">
        <f t="shared" si="0"/>
        <v>16</v>
      </c>
      <c r="H35" s="17">
        <f t="shared" si="1"/>
        <v>0.02</v>
      </c>
      <c r="I35" s="16">
        <f t="shared" si="2"/>
        <v>0</v>
      </c>
      <c r="J35" s="16"/>
    </row>
    <row r="36" spans="1:10" x14ac:dyDescent="0.25">
      <c r="A36" s="1" t="s">
        <v>16</v>
      </c>
      <c r="B36" s="1" t="s">
        <v>44</v>
      </c>
      <c r="C36" s="11"/>
      <c r="D36" s="11"/>
      <c r="E36" s="11">
        <v>20403</v>
      </c>
      <c r="F36" s="11"/>
      <c r="G36" s="11">
        <f t="shared" si="0"/>
        <v>20403</v>
      </c>
      <c r="H36" s="17">
        <f t="shared" si="1"/>
        <v>24.12</v>
      </c>
      <c r="I36" s="16">
        <f t="shared" si="2"/>
        <v>5.6000000000000001E-2</v>
      </c>
      <c r="J36" s="16">
        <f>ROUND(G36/19179-1,2)</f>
        <v>0.06</v>
      </c>
    </row>
    <row r="37" spans="1:10" x14ac:dyDescent="0.25">
      <c r="A37" s="1" t="s">
        <v>45</v>
      </c>
      <c r="B37" s="1" t="s">
        <v>46</v>
      </c>
      <c r="C37" s="11">
        <v>70160</v>
      </c>
      <c r="D37" s="11"/>
      <c r="E37" s="11"/>
      <c r="F37" s="11"/>
      <c r="G37" s="11">
        <f t="shared" si="0"/>
        <v>70160</v>
      </c>
      <c r="H37" s="17">
        <f t="shared" si="1"/>
        <v>82.93</v>
      </c>
      <c r="I37" s="16">
        <f t="shared" si="2"/>
        <v>0.193</v>
      </c>
      <c r="J37" s="16">
        <f>ROUND(G37/86580-1,2)</f>
        <v>-0.19</v>
      </c>
    </row>
    <row r="38" spans="1:10" x14ac:dyDescent="0.25">
      <c r="A38" s="1" t="s">
        <v>45</v>
      </c>
      <c r="B38" s="1" t="s">
        <v>47</v>
      </c>
      <c r="C38" s="11"/>
      <c r="D38" s="11"/>
      <c r="E38" s="11">
        <v>20851</v>
      </c>
      <c r="F38" s="11"/>
      <c r="G38" s="11">
        <f t="shared" si="0"/>
        <v>20851</v>
      </c>
      <c r="H38" s="17">
        <f t="shared" si="1"/>
        <v>24.65</v>
      </c>
      <c r="I38" s="16">
        <f t="shared" si="2"/>
        <v>5.7000000000000002E-2</v>
      </c>
      <c r="J38" s="16">
        <f>ROUND(G38/22690-1,2)</f>
        <v>-0.08</v>
      </c>
    </row>
    <row r="39" spans="1:10" x14ac:dyDescent="0.25">
      <c r="A39" s="1" t="s">
        <v>45</v>
      </c>
      <c r="B39" s="1" t="s">
        <v>48</v>
      </c>
      <c r="C39" s="11"/>
      <c r="D39" s="11"/>
      <c r="E39" s="11"/>
      <c r="F39" s="11"/>
      <c r="G39" s="11">
        <f t="shared" si="0"/>
        <v>0</v>
      </c>
      <c r="H39" s="17">
        <f t="shared" si="1"/>
        <v>0</v>
      </c>
      <c r="I39" s="16">
        <f t="shared" si="2"/>
        <v>0</v>
      </c>
      <c r="J39" s="16"/>
    </row>
    <row r="40" spans="1:10" x14ac:dyDescent="0.25">
      <c r="A40" s="1" t="s">
        <v>49</v>
      </c>
      <c r="B40" s="1" t="s">
        <v>52</v>
      </c>
      <c r="C40" s="11"/>
      <c r="D40" s="11"/>
      <c r="E40" s="11"/>
      <c r="F40" s="11"/>
      <c r="G40" s="11">
        <f t="shared" si="0"/>
        <v>0</v>
      </c>
      <c r="H40" s="17">
        <f t="shared" si="1"/>
        <v>0</v>
      </c>
      <c r="I40" s="16">
        <f t="shared" si="2"/>
        <v>0</v>
      </c>
      <c r="J40" s="16"/>
    </row>
    <row r="41" spans="1:10" x14ac:dyDescent="0.25">
      <c r="A41" s="1" t="s">
        <v>49</v>
      </c>
      <c r="B41" s="1" t="s">
        <v>88</v>
      </c>
      <c r="C41" s="11"/>
      <c r="D41" s="11"/>
      <c r="E41" s="11"/>
      <c r="F41" s="11"/>
      <c r="G41" s="11">
        <f t="shared" si="0"/>
        <v>0</v>
      </c>
      <c r="H41" s="17">
        <f t="shared" si="1"/>
        <v>0</v>
      </c>
      <c r="I41" s="16">
        <f t="shared" si="2"/>
        <v>0</v>
      </c>
      <c r="J41" s="16"/>
    </row>
    <row r="42" spans="1:10" x14ac:dyDescent="0.25">
      <c r="A42" s="26" t="s">
        <v>12</v>
      </c>
      <c r="B42" s="26"/>
      <c r="C42" s="12">
        <f t="shared" ref="C42:H42" si="3">SUM(C8:C41)</f>
        <v>218520</v>
      </c>
      <c r="D42" s="12">
        <f t="shared" si="3"/>
        <v>0</v>
      </c>
      <c r="E42" s="12">
        <f t="shared" si="3"/>
        <v>143951</v>
      </c>
      <c r="F42" s="12">
        <f t="shared" si="3"/>
        <v>240</v>
      </c>
      <c r="G42" s="12">
        <f t="shared" si="3"/>
        <v>362711</v>
      </c>
      <c r="H42" s="15">
        <f t="shared" si="3"/>
        <v>428.73999999999995</v>
      </c>
      <c r="I42" s="18"/>
      <c r="J42" s="18"/>
    </row>
    <row r="43" spans="1:10" x14ac:dyDescent="0.25">
      <c r="A43" s="26" t="s">
        <v>14</v>
      </c>
      <c r="B43" s="26"/>
      <c r="C43" s="13">
        <f>ROUND(C42/G42,2)</f>
        <v>0.6</v>
      </c>
      <c r="D43" s="13">
        <f>ROUND(D42/G42,2)</f>
        <v>0</v>
      </c>
      <c r="E43" s="13">
        <f>ROUND(E42/G42,2)</f>
        <v>0.4</v>
      </c>
      <c r="F43" s="13">
        <f>ROUND(F42/G42,2)</f>
        <v>0</v>
      </c>
      <c r="G43" s="14"/>
      <c r="H43" s="14"/>
      <c r="I43" s="18"/>
      <c r="J43" s="18"/>
    </row>
    <row r="44" spans="1:10" x14ac:dyDescent="0.25">
      <c r="A44" s="2" t="s">
        <v>53</v>
      </c>
      <c r="B44" s="2"/>
      <c r="C44" s="14"/>
      <c r="D44" s="14"/>
      <c r="E44" s="14"/>
      <c r="F44" s="14"/>
      <c r="G44" s="14"/>
      <c r="H44" s="14"/>
      <c r="I44" s="18"/>
      <c r="J44" s="18"/>
    </row>
    <row r="45" spans="1:10" x14ac:dyDescent="0.25">
      <c r="C45" s="9"/>
      <c r="D45" s="9"/>
      <c r="E45" s="9"/>
      <c r="F45" s="9"/>
      <c r="G45" s="9"/>
      <c r="H45" s="9"/>
      <c r="I45" s="10"/>
      <c r="J45" s="10"/>
    </row>
    <row r="46" spans="1:10" x14ac:dyDescent="0.25">
      <c r="C46" s="9"/>
      <c r="D46" s="9"/>
      <c r="E46" s="9"/>
      <c r="F46" s="9"/>
      <c r="G46" s="9"/>
      <c r="H46" s="9"/>
      <c r="I46" s="10"/>
      <c r="J46" s="10"/>
    </row>
    <row r="47" spans="1:10" x14ac:dyDescent="0.25">
      <c r="C47" s="9"/>
      <c r="D47" s="9"/>
      <c r="E47" s="9"/>
      <c r="F47" s="9"/>
      <c r="G47" s="9"/>
      <c r="H47" s="9"/>
      <c r="I47" s="10"/>
      <c r="J47" s="10"/>
    </row>
    <row r="48" spans="1:10" x14ac:dyDescent="0.25">
      <c r="A48" s="26" t="s">
        <v>54</v>
      </c>
      <c r="B48" s="26"/>
      <c r="C48" s="12" t="s">
        <v>8</v>
      </c>
      <c r="D48" s="12" t="s">
        <v>9</v>
      </c>
      <c r="E48" s="12" t="s">
        <v>10</v>
      </c>
      <c r="F48" s="12" t="s">
        <v>11</v>
      </c>
      <c r="G48" s="12" t="s">
        <v>12</v>
      </c>
      <c r="H48" s="15" t="s">
        <v>13</v>
      </c>
      <c r="I48" s="18"/>
      <c r="J48" s="18"/>
    </row>
    <row r="49" spans="1:10" x14ac:dyDescent="0.25">
      <c r="A49" s="21" t="s">
        <v>55</v>
      </c>
      <c r="B49" s="21"/>
      <c r="C49" s="11">
        <v>148360</v>
      </c>
      <c r="D49" s="11">
        <v>0</v>
      </c>
      <c r="E49" s="11">
        <v>123100</v>
      </c>
      <c r="F49" s="11">
        <v>240</v>
      </c>
      <c r="G49" s="11">
        <f>SUM(C49:F49)</f>
        <v>271700</v>
      </c>
      <c r="H49" s="17">
        <f>ROUND(G49/846,2)</f>
        <v>321.16000000000003</v>
      </c>
      <c r="I49" s="10"/>
      <c r="J49" s="10"/>
    </row>
    <row r="50" spans="1:10" x14ac:dyDescent="0.25">
      <c r="A50" s="21" t="s">
        <v>56</v>
      </c>
      <c r="B50" s="21"/>
      <c r="C50" s="11">
        <v>70160</v>
      </c>
      <c r="D50" s="11">
        <v>0</v>
      </c>
      <c r="E50" s="11">
        <v>20851</v>
      </c>
      <c r="F50" s="11">
        <v>0</v>
      </c>
      <c r="G50" s="11">
        <f>SUM(C50:F50)</f>
        <v>91011</v>
      </c>
      <c r="H50" s="17">
        <f>ROUND(G50/846,2)</f>
        <v>107.58</v>
      </c>
      <c r="I50" s="10"/>
      <c r="J50" s="10"/>
    </row>
    <row r="51" spans="1:10" x14ac:dyDescent="0.25">
      <c r="A51" s="21" t="s">
        <v>57</v>
      </c>
      <c r="B51" s="21"/>
      <c r="C51" s="11">
        <v>0</v>
      </c>
      <c r="D51" s="11">
        <v>0</v>
      </c>
      <c r="E51" s="11">
        <v>0</v>
      </c>
      <c r="F51" s="11">
        <v>0</v>
      </c>
      <c r="G51" s="11">
        <f>SUM(C51:F51)</f>
        <v>0</v>
      </c>
      <c r="H51" s="17">
        <f>ROUND(G51/846,2)</f>
        <v>0</v>
      </c>
      <c r="I51" s="10"/>
      <c r="J51" s="10"/>
    </row>
    <row r="52" spans="1:10" x14ac:dyDescent="0.25">
      <c r="C52" s="9"/>
      <c r="D52" s="9"/>
      <c r="E52" s="9"/>
      <c r="F52" s="9"/>
      <c r="G52" s="9"/>
      <c r="H52" s="9"/>
      <c r="I52" s="10"/>
      <c r="J52" s="10"/>
    </row>
    <row r="53" spans="1:10" x14ac:dyDescent="0.25">
      <c r="C53" s="9"/>
      <c r="D53" s="9"/>
      <c r="E53" s="9"/>
      <c r="F53" s="9"/>
      <c r="G53" s="9"/>
      <c r="H53" s="9"/>
      <c r="I53" s="10"/>
      <c r="J53" s="10"/>
    </row>
    <row r="54" spans="1:10" x14ac:dyDescent="0.25">
      <c r="C54" s="9"/>
      <c r="D54" s="9"/>
      <c r="E54" s="9"/>
      <c r="F54" s="9"/>
      <c r="G54" s="9"/>
      <c r="H54" s="9"/>
      <c r="I54" s="10"/>
      <c r="J54" s="10"/>
    </row>
    <row r="55" spans="1:10" x14ac:dyDescent="0.25">
      <c r="C55" s="9"/>
      <c r="D55" s="9"/>
      <c r="E55" s="9"/>
      <c r="F55" s="9"/>
      <c r="G55" s="9"/>
      <c r="H55" s="9"/>
      <c r="I55" s="10"/>
      <c r="J55" s="10"/>
    </row>
    <row r="56" spans="1:10" x14ac:dyDescent="0.25">
      <c r="A56" s="26" t="s">
        <v>58</v>
      </c>
      <c r="B56" s="26"/>
      <c r="C56" s="15" t="s">
        <v>2</v>
      </c>
      <c r="D56" s="15">
        <v>2024</v>
      </c>
      <c r="E56" s="15" t="s">
        <v>60</v>
      </c>
      <c r="F56" s="14"/>
      <c r="G56" s="15" t="s">
        <v>61</v>
      </c>
      <c r="H56" s="15" t="s">
        <v>2</v>
      </c>
      <c r="I56" s="13" t="s">
        <v>62</v>
      </c>
      <c r="J56" s="13" t="s">
        <v>60</v>
      </c>
    </row>
    <row r="57" spans="1:10" x14ac:dyDescent="0.25">
      <c r="A57" s="21" t="s">
        <v>59</v>
      </c>
      <c r="B57" s="21"/>
      <c r="C57" s="16">
        <f>ROUND(0.7895, 4)</f>
        <v>0.78949999999999998</v>
      </c>
      <c r="D57" s="16">
        <f>ROUND(0.756, 4)</f>
        <v>0.75600000000000001</v>
      </c>
      <c r="E57" s="16">
        <f>ROUND(0.7856, 4)</f>
        <v>0.78559999999999997</v>
      </c>
      <c r="F57" s="9"/>
      <c r="G57" s="15" t="s">
        <v>63</v>
      </c>
      <c r="H57" s="27" t="s">
        <v>64</v>
      </c>
      <c r="I57" s="24" t="s">
        <v>65</v>
      </c>
      <c r="J57" s="24" t="s">
        <v>66</v>
      </c>
    </row>
    <row r="58" spans="1:10" x14ac:dyDescent="0.25">
      <c r="A58" s="21" t="s">
        <v>67</v>
      </c>
      <c r="B58" s="21"/>
      <c r="C58" s="16">
        <f>ROUND(0.7895, 4)</f>
        <v>0.78949999999999998</v>
      </c>
      <c r="D58" s="16">
        <f>ROUND(0.7172, 4)</f>
        <v>0.71719999999999995</v>
      </c>
      <c r="E58" s="16">
        <f>ROUND(0.7702, 4)</f>
        <v>0.7702</v>
      </c>
      <c r="F58" s="9"/>
      <c r="G58" s="15" t="s">
        <v>68</v>
      </c>
      <c r="H58" s="28"/>
      <c r="I58" s="25"/>
      <c r="J58" s="25"/>
    </row>
    <row r="59" spans="1:10" x14ac:dyDescent="0.25">
      <c r="C59" s="9"/>
      <c r="D59" s="9"/>
      <c r="E59" s="9"/>
      <c r="F59" s="9"/>
      <c r="G59" s="9"/>
      <c r="H59" s="9"/>
      <c r="I59" s="10"/>
      <c r="J59" s="10"/>
    </row>
    <row r="60" spans="1:10" x14ac:dyDescent="0.25">
      <c r="C60" s="9"/>
      <c r="D60" s="9"/>
      <c r="E60" s="9"/>
      <c r="F60" s="9"/>
      <c r="G60" s="9"/>
      <c r="H60" s="9"/>
      <c r="I60" s="10"/>
      <c r="J60" s="10"/>
    </row>
    <row r="61" spans="1:10" x14ac:dyDescent="0.25">
      <c r="C61" s="9"/>
      <c r="D61" s="9"/>
      <c r="E61" s="9"/>
      <c r="F61" s="9"/>
      <c r="G61" s="9"/>
      <c r="H61" s="9"/>
      <c r="I61" s="10"/>
      <c r="J61" s="10"/>
    </row>
    <row r="62" spans="1:10" x14ac:dyDescent="0.25">
      <c r="A62" s="26" t="s">
        <v>69</v>
      </c>
      <c r="B62" s="26"/>
      <c r="C62" s="15" t="s">
        <v>2</v>
      </c>
      <c r="D62" s="15" t="s">
        <v>350</v>
      </c>
      <c r="E62" s="15" t="s">
        <v>71</v>
      </c>
      <c r="F62" s="15" t="s">
        <v>72</v>
      </c>
      <c r="G62" s="15" t="s">
        <v>73</v>
      </c>
      <c r="H62" s="14"/>
      <c r="I62" s="18"/>
      <c r="J62" s="18"/>
    </row>
    <row r="63" spans="1:10" x14ac:dyDescent="0.25">
      <c r="A63" s="21" t="s">
        <v>74</v>
      </c>
      <c r="B63" s="21"/>
      <c r="C63" s="17">
        <v>82.93</v>
      </c>
      <c r="D63" s="17">
        <v>89.8</v>
      </c>
      <c r="E63" s="17">
        <v>96.15</v>
      </c>
      <c r="F63" s="17">
        <v>57.94</v>
      </c>
      <c r="G63" s="17">
        <f>12/12*C63</f>
        <v>82.93</v>
      </c>
      <c r="H63" s="9"/>
      <c r="I63" s="10"/>
      <c r="J63" s="10"/>
    </row>
    <row r="64" spans="1:10" x14ac:dyDescent="0.25">
      <c r="A64" s="21" t="s">
        <v>75</v>
      </c>
      <c r="B64" s="21"/>
      <c r="C64" s="17">
        <v>59.36</v>
      </c>
      <c r="D64" s="17">
        <v>50.08</v>
      </c>
      <c r="E64" s="17">
        <v>62.28</v>
      </c>
      <c r="F64" s="17">
        <v>66.599999999999994</v>
      </c>
      <c r="G64" s="17">
        <f>12/12*C64</f>
        <v>59.36</v>
      </c>
      <c r="H64" s="9"/>
      <c r="I64" s="10"/>
      <c r="J64" s="10"/>
    </row>
    <row r="65" spans="1:10" x14ac:dyDescent="0.25">
      <c r="A65" s="21" t="s">
        <v>76</v>
      </c>
      <c r="B65" s="21"/>
      <c r="C65" s="17">
        <v>321.16000000000003</v>
      </c>
      <c r="D65" s="17">
        <v>277.43</v>
      </c>
      <c r="E65" s="17">
        <v>300.02</v>
      </c>
      <c r="F65" s="17">
        <v>295.08</v>
      </c>
      <c r="G65" s="17">
        <f>12/12*C65</f>
        <v>321.16000000000003</v>
      </c>
      <c r="H65" s="9"/>
      <c r="I65" s="10"/>
      <c r="J65" s="10"/>
    </row>
    <row r="66" spans="1:10" x14ac:dyDescent="0.25">
      <c r="A66" s="21" t="s">
        <v>77</v>
      </c>
      <c r="B66" s="21"/>
      <c r="C66" s="17">
        <v>107.58</v>
      </c>
      <c r="D66" s="17">
        <v>111.51</v>
      </c>
      <c r="E66" s="17">
        <v>120.96</v>
      </c>
      <c r="F66" s="17">
        <v>83.12</v>
      </c>
      <c r="G66" s="17">
        <f>12/12*C66</f>
        <v>107.58</v>
      </c>
      <c r="H66" s="9"/>
      <c r="I66" s="10"/>
      <c r="J66" s="10"/>
    </row>
    <row r="67" spans="1:10" x14ac:dyDescent="0.25">
      <c r="C67" s="9"/>
      <c r="D67" s="9"/>
      <c r="E67" s="9"/>
      <c r="F67" s="9"/>
      <c r="G67" s="9"/>
      <c r="H67" s="9"/>
      <c r="I67" s="10"/>
      <c r="J67" s="10"/>
    </row>
    <row r="68" spans="1:10" x14ac:dyDescent="0.25">
      <c r="C68" s="9"/>
      <c r="D68" s="9"/>
      <c r="E68" s="9"/>
      <c r="F68" s="9"/>
      <c r="G68" s="9"/>
      <c r="H68" s="9"/>
      <c r="I68" s="10"/>
      <c r="J68" s="10"/>
    </row>
    <row r="69" spans="1:10" x14ac:dyDescent="0.25">
      <c r="A69" s="22" t="s">
        <v>61</v>
      </c>
      <c r="B69" s="23"/>
      <c r="C69" s="9"/>
      <c r="D69" s="9"/>
      <c r="E69" s="9"/>
      <c r="F69" s="9"/>
      <c r="G69" s="9"/>
      <c r="H69" s="9"/>
      <c r="I69" s="10"/>
      <c r="J69" s="10"/>
    </row>
    <row r="70" spans="1:10" x14ac:dyDescent="0.25">
      <c r="A70" s="3" t="s">
        <v>78</v>
      </c>
      <c r="B70" s="1" t="s">
        <v>351</v>
      </c>
      <c r="C70" s="9"/>
      <c r="D70" s="9"/>
      <c r="E70" s="9"/>
      <c r="F70" s="9"/>
      <c r="G70" s="9"/>
      <c r="H70" s="9"/>
      <c r="I70" s="10"/>
      <c r="J70" s="10"/>
    </row>
    <row r="71" spans="1:10" x14ac:dyDescent="0.25">
      <c r="A71" s="3" t="s">
        <v>71</v>
      </c>
      <c r="B71" s="1" t="s">
        <v>80</v>
      </c>
      <c r="C71" s="9"/>
      <c r="D71" s="9"/>
      <c r="E71" s="9"/>
      <c r="F71" s="9"/>
      <c r="G71" s="9"/>
      <c r="H71" s="9"/>
      <c r="I71" s="10"/>
      <c r="J71" s="10"/>
    </row>
    <row r="72" spans="1:10" x14ac:dyDescent="0.25">
      <c r="A72" s="3" t="s">
        <v>72</v>
      </c>
      <c r="B72" s="1" t="s">
        <v>81</v>
      </c>
      <c r="C72" s="9"/>
      <c r="D72" s="9"/>
      <c r="E72" s="9"/>
      <c r="F72" s="9"/>
      <c r="G72" s="9"/>
      <c r="H72" s="9"/>
      <c r="I72" s="10"/>
      <c r="J72" s="10"/>
    </row>
    <row r="73" spans="1:10" x14ac:dyDescent="0.25">
      <c r="A73" s="3" t="s">
        <v>73</v>
      </c>
      <c r="B73" s="1" t="s">
        <v>82</v>
      </c>
      <c r="C73" s="9"/>
      <c r="D73" s="9"/>
      <c r="E73" s="9"/>
      <c r="F73" s="9"/>
      <c r="G73" s="9"/>
      <c r="H73" s="9"/>
      <c r="I73" s="10"/>
      <c r="J73" s="10"/>
    </row>
  </sheetData>
  <mergeCells count="19">
    <mergeCell ref="C7:G7"/>
    <mergeCell ref="A42:B42"/>
    <mergeCell ref="A43:B43"/>
    <mergeCell ref="A48:B48"/>
    <mergeCell ref="A49:B49"/>
    <mergeCell ref="J57:J58"/>
    <mergeCell ref="A58:B58"/>
    <mergeCell ref="A62:B62"/>
    <mergeCell ref="A63:B63"/>
    <mergeCell ref="A50:B50"/>
    <mergeCell ref="A51:B51"/>
    <mergeCell ref="A56:B56"/>
    <mergeCell ref="A57:B57"/>
    <mergeCell ref="H57:H58"/>
    <mergeCell ref="A64:B64"/>
    <mergeCell ref="A65:B65"/>
    <mergeCell ref="A66:B66"/>
    <mergeCell ref="A69:B69"/>
    <mergeCell ref="I57:I58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2:J73"/>
  <sheetViews>
    <sheetView workbookViewId="0">
      <selection activeCell="H5" sqref="H5"/>
    </sheetView>
  </sheetViews>
  <sheetFormatPr defaultRowHeight="15" x14ac:dyDescent="0.25"/>
  <cols>
    <col min="1" max="1" width="28.42578125" bestFit="1" customWidth="1"/>
    <col min="2" max="2" width="59.5703125" bestFit="1" customWidth="1"/>
    <col min="3" max="3" width="12.7109375" bestFit="1" customWidth="1"/>
    <col min="4" max="4" width="27.85546875" bestFit="1" customWidth="1"/>
    <col min="5" max="5" width="13.85546875" bestFit="1" customWidth="1"/>
    <col min="6" max="6" width="8.5703125" bestFit="1" customWidth="1"/>
    <col min="7" max="7" width="47.7109375" bestFit="1" customWidth="1"/>
    <col min="8" max="9" width="16.7109375" bestFit="1" customWidth="1"/>
    <col min="10" max="10" width="24.42578125" bestFit="1" customWidth="1"/>
  </cols>
  <sheetData>
    <row r="2" spans="1:10" ht="18.75" x14ac:dyDescent="0.3">
      <c r="A2" s="3" t="s">
        <v>0</v>
      </c>
      <c r="B2" s="4" t="s">
        <v>352</v>
      </c>
    </row>
    <row r="3" spans="1:10" x14ac:dyDescent="0.25">
      <c r="A3" s="3" t="s">
        <v>2</v>
      </c>
      <c r="B3" s="1" t="s">
        <v>3</v>
      </c>
    </row>
    <row r="4" spans="1:10" x14ac:dyDescent="0.25">
      <c r="A4" s="3" t="s">
        <v>4</v>
      </c>
      <c r="B4" s="20">
        <v>2127</v>
      </c>
    </row>
    <row r="7" spans="1:10" x14ac:dyDescent="0.25">
      <c r="C7" s="22" t="s">
        <v>5</v>
      </c>
      <c r="D7" s="21"/>
      <c r="E7" s="21"/>
      <c r="F7" s="21"/>
      <c r="G7" s="21"/>
    </row>
    <row r="8" spans="1:10" x14ac:dyDescent="0.25">
      <c r="A8" s="3" t="s">
        <v>6</v>
      </c>
      <c r="B8" s="3" t="s">
        <v>7</v>
      </c>
      <c r="C8" s="15" t="s">
        <v>8</v>
      </c>
      <c r="D8" s="15" t="s">
        <v>9</v>
      </c>
      <c r="E8" s="15" t="s">
        <v>10</v>
      </c>
      <c r="F8" s="15" t="s">
        <v>11</v>
      </c>
      <c r="G8" s="15" t="s">
        <v>12</v>
      </c>
      <c r="H8" s="15" t="s">
        <v>13</v>
      </c>
      <c r="I8" s="15" t="s">
        <v>14</v>
      </c>
      <c r="J8" s="15" t="s">
        <v>15</v>
      </c>
    </row>
    <row r="9" spans="1:10" x14ac:dyDescent="0.25">
      <c r="A9" s="1" t="s">
        <v>16</v>
      </c>
      <c r="B9" s="1" t="s">
        <v>17</v>
      </c>
      <c r="C9" s="11"/>
      <c r="D9" s="11"/>
      <c r="E9" s="11">
        <v>189</v>
      </c>
      <c r="F9" s="11"/>
      <c r="G9" s="11">
        <f t="shared" ref="G9:G41" si="0">SUM(C9:F9)</f>
        <v>189</v>
      </c>
      <c r="H9" s="17">
        <f t="shared" ref="H9:H41" si="1">ROUND(G9/2127,2)</f>
        <v>0.09</v>
      </c>
      <c r="I9" s="16">
        <f t="shared" ref="I9:I41" si="2">ROUND(G9/$G$42,3)</f>
        <v>0</v>
      </c>
      <c r="J9" s="16">
        <f>ROUND(G9/46-1,2)</f>
        <v>3.11</v>
      </c>
    </row>
    <row r="10" spans="1:10" x14ac:dyDescent="0.25">
      <c r="A10" s="1" t="s">
        <v>16</v>
      </c>
      <c r="B10" s="1" t="s">
        <v>19</v>
      </c>
      <c r="C10" s="11">
        <v>78280</v>
      </c>
      <c r="D10" s="11"/>
      <c r="E10" s="11">
        <v>19042</v>
      </c>
      <c r="F10" s="11"/>
      <c r="G10" s="11">
        <f t="shared" si="0"/>
        <v>97322</v>
      </c>
      <c r="H10" s="17">
        <f t="shared" si="1"/>
        <v>45.76</v>
      </c>
      <c r="I10" s="16">
        <f t="shared" si="2"/>
        <v>8.6999999999999994E-2</v>
      </c>
      <c r="J10" s="16">
        <f>ROUND(G10/83076-1,2)</f>
        <v>0.17</v>
      </c>
    </row>
    <row r="11" spans="1:10" x14ac:dyDescent="0.25">
      <c r="A11" s="1" t="s">
        <v>16</v>
      </c>
      <c r="B11" s="1" t="s">
        <v>20</v>
      </c>
      <c r="C11" s="11">
        <v>88260</v>
      </c>
      <c r="D11" s="11"/>
      <c r="E11" s="11"/>
      <c r="F11" s="11"/>
      <c r="G11" s="11">
        <f t="shared" si="0"/>
        <v>88260</v>
      </c>
      <c r="H11" s="17">
        <f t="shared" si="1"/>
        <v>41.5</v>
      </c>
      <c r="I11" s="16">
        <f t="shared" si="2"/>
        <v>7.9000000000000001E-2</v>
      </c>
      <c r="J11" s="16">
        <f>ROUND(G11/95462-1,2)</f>
        <v>-0.08</v>
      </c>
    </row>
    <row r="12" spans="1:10" x14ac:dyDescent="0.25">
      <c r="A12" s="1" t="s">
        <v>16</v>
      </c>
      <c r="B12" s="1" t="s">
        <v>21</v>
      </c>
      <c r="C12" s="11"/>
      <c r="D12" s="11"/>
      <c r="E12" s="11">
        <v>341</v>
      </c>
      <c r="F12" s="11"/>
      <c r="G12" s="11">
        <f t="shared" si="0"/>
        <v>341</v>
      </c>
      <c r="H12" s="17">
        <f t="shared" si="1"/>
        <v>0.16</v>
      </c>
      <c r="I12" s="16">
        <f t="shared" si="2"/>
        <v>0</v>
      </c>
      <c r="J12" s="16">
        <f>ROUND(G12/190-1,2)</f>
        <v>0.79</v>
      </c>
    </row>
    <row r="13" spans="1:10" x14ac:dyDescent="0.25">
      <c r="A13" s="1" t="s">
        <v>16</v>
      </c>
      <c r="B13" s="1" t="s">
        <v>22</v>
      </c>
      <c r="C13" s="11"/>
      <c r="D13" s="11"/>
      <c r="E13" s="11">
        <v>3643</v>
      </c>
      <c r="F13" s="11"/>
      <c r="G13" s="11">
        <f t="shared" si="0"/>
        <v>3643</v>
      </c>
      <c r="H13" s="17">
        <f t="shared" si="1"/>
        <v>1.71</v>
      </c>
      <c r="I13" s="16">
        <f t="shared" si="2"/>
        <v>3.0000000000000001E-3</v>
      </c>
      <c r="J13" s="16">
        <f>ROUND(G13/3250-1,2)</f>
        <v>0.12</v>
      </c>
    </row>
    <row r="14" spans="1:10" x14ac:dyDescent="0.25">
      <c r="A14" s="1" t="s">
        <v>16</v>
      </c>
      <c r="B14" s="1" t="s">
        <v>23</v>
      </c>
      <c r="C14" s="11"/>
      <c r="D14" s="11"/>
      <c r="E14" s="11">
        <v>135369</v>
      </c>
      <c r="F14" s="11"/>
      <c r="G14" s="11">
        <f t="shared" si="0"/>
        <v>135369</v>
      </c>
      <c r="H14" s="17">
        <f t="shared" si="1"/>
        <v>63.64</v>
      </c>
      <c r="I14" s="16">
        <f t="shared" si="2"/>
        <v>0.121</v>
      </c>
      <c r="J14" s="16">
        <f>ROUND(G14/59939-1,2)</f>
        <v>1.26</v>
      </c>
    </row>
    <row r="15" spans="1:10" x14ac:dyDescent="0.25">
      <c r="A15" s="1" t="s">
        <v>16</v>
      </c>
      <c r="B15" s="1" t="s">
        <v>24</v>
      </c>
      <c r="C15" s="11">
        <v>88450</v>
      </c>
      <c r="D15" s="11"/>
      <c r="E15" s="11">
        <v>37538</v>
      </c>
      <c r="F15" s="11"/>
      <c r="G15" s="11">
        <f t="shared" si="0"/>
        <v>125988</v>
      </c>
      <c r="H15" s="17">
        <f t="shared" si="1"/>
        <v>59.23</v>
      </c>
      <c r="I15" s="16">
        <f t="shared" si="2"/>
        <v>0.112</v>
      </c>
      <c r="J15" s="16">
        <f>ROUND(G15/103711-1,2)</f>
        <v>0.21</v>
      </c>
    </row>
    <row r="16" spans="1:10" x14ac:dyDescent="0.25">
      <c r="A16" s="1" t="s">
        <v>16</v>
      </c>
      <c r="B16" s="1" t="s">
        <v>25</v>
      </c>
      <c r="C16" s="11"/>
      <c r="D16" s="11"/>
      <c r="E16" s="11">
        <v>10391</v>
      </c>
      <c r="F16" s="11"/>
      <c r="G16" s="11">
        <f t="shared" si="0"/>
        <v>10391</v>
      </c>
      <c r="H16" s="17">
        <f t="shared" si="1"/>
        <v>4.8899999999999997</v>
      </c>
      <c r="I16" s="16">
        <f t="shared" si="2"/>
        <v>8.9999999999999993E-3</v>
      </c>
      <c r="J16" s="16">
        <f>ROUND(G16/3445-1,2)</f>
        <v>2.02</v>
      </c>
    </row>
    <row r="17" spans="1:10" x14ac:dyDescent="0.25">
      <c r="A17" s="1" t="s">
        <v>16</v>
      </c>
      <c r="B17" s="1" t="s">
        <v>26</v>
      </c>
      <c r="C17" s="11">
        <v>143840</v>
      </c>
      <c r="D17" s="11"/>
      <c r="E17" s="11"/>
      <c r="F17" s="11"/>
      <c r="G17" s="11">
        <f t="shared" si="0"/>
        <v>143840</v>
      </c>
      <c r="H17" s="17">
        <f t="shared" si="1"/>
        <v>67.63</v>
      </c>
      <c r="I17" s="16">
        <f t="shared" si="2"/>
        <v>0.128</v>
      </c>
      <c r="J17" s="16">
        <f>ROUND(G17/149980-1,2)</f>
        <v>-0.04</v>
      </c>
    </row>
    <row r="18" spans="1:10" x14ac:dyDescent="0.25">
      <c r="A18" s="1" t="s">
        <v>16</v>
      </c>
      <c r="B18" s="1" t="s">
        <v>27</v>
      </c>
      <c r="C18" s="11"/>
      <c r="D18" s="11"/>
      <c r="E18" s="11">
        <v>1756</v>
      </c>
      <c r="F18" s="11"/>
      <c r="G18" s="11">
        <f t="shared" si="0"/>
        <v>1756</v>
      </c>
      <c r="H18" s="17">
        <f t="shared" si="1"/>
        <v>0.83</v>
      </c>
      <c r="I18" s="16">
        <f t="shared" si="2"/>
        <v>2E-3</v>
      </c>
      <c r="J18" s="16">
        <f>ROUND(G18/769-1,2)</f>
        <v>1.28</v>
      </c>
    </row>
    <row r="19" spans="1:10" x14ac:dyDescent="0.25">
      <c r="A19" s="1" t="s">
        <v>16</v>
      </c>
      <c r="B19" s="1" t="s">
        <v>28</v>
      </c>
      <c r="C19" s="11"/>
      <c r="D19" s="11"/>
      <c r="E19" s="11">
        <v>792</v>
      </c>
      <c r="F19" s="11"/>
      <c r="G19" s="11">
        <f t="shared" si="0"/>
        <v>792</v>
      </c>
      <c r="H19" s="17">
        <f t="shared" si="1"/>
        <v>0.37</v>
      </c>
      <c r="I19" s="16">
        <f t="shared" si="2"/>
        <v>1E-3</v>
      </c>
      <c r="J19" s="16">
        <f>ROUND(G19/479-1,2)</f>
        <v>0.65</v>
      </c>
    </row>
    <row r="20" spans="1:10" x14ac:dyDescent="0.25">
      <c r="A20" s="1" t="s">
        <v>16</v>
      </c>
      <c r="B20" s="1" t="s">
        <v>29</v>
      </c>
      <c r="C20" s="11"/>
      <c r="D20" s="11"/>
      <c r="E20" s="11">
        <v>273</v>
      </c>
      <c r="F20" s="11"/>
      <c r="G20" s="11">
        <f t="shared" si="0"/>
        <v>273</v>
      </c>
      <c r="H20" s="17">
        <f t="shared" si="1"/>
        <v>0.13</v>
      </c>
      <c r="I20" s="16">
        <f t="shared" si="2"/>
        <v>0</v>
      </c>
      <c r="J20" s="16">
        <f>ROUND(G20/139-1,2)</f>
        <v>0.96</v>
      </c>
    </row>
    <row r="21" spans="1:10" x14ac:dyDescent="0.25">
      <c r="A21" s="1" t="s">
        <v>16</v>
      </c>
      <c r="B21" s="1" t="s">
        <v>30</v>
      </c>
      <c r="C21" s="11"/>
      <c r="D21" s="11"/>
      <c r="E21" s="11">
        <v>6408</v>
      </c>
      <c r="F21" s="11"/>
      <c r="G21" s="11">
        <f t="shared" si="0"/>
        <v>6408</v>
      </c>
      <c r="H21" s="17">
        <f t="shared" si="1"/>
        <v>3.01</v>
      </c>
      <c r="I21" s="16">
        <f t="shared" si="2"/>
        <v>6.0000000000000001E-3</v>
      </c>
      <c r="J21" s="16">
        <f>ROUND(G21/4356-1,2)</f>
        <v>0.47</v>
      </c>
    </row>
    <row r="22" spans="1:10" x14ac:dyDescent="0.25">
      <c r="A22" s="1" t="s">
        <v>16</v>
      </c>
      <c r="B22" s="1" t="s">
        <v>31</v>
      </c>
      <c r="C22" s="11"/>
      <c r="D22" s="11"/>
      <c r="E22" s="11">
        <v>873</v>
      </c>
      <c r="F22" s="11"/>
      <c r="G22" s="11">
        <f t="shared" si="0"/>
        <v>873</v>
      </c>
      <c r="H22" s="17">
        <f t="shared" si="1"/>
        <v>0.41</v>
      </c>
      <c r="I22" s="16">
        <f t="shared" si="2"/>
        <v>1E-3</v>
      </c>
      <c r="J22" s="16">
        <f>ROUND(G22/500-1,2)</f>
        <v>0.75</v>
      </c>
    </row>
    <row r="23" spans="1:10" x14ac:dyDescent="0.25">
      <c r="A23" s="1" t="s">
        <v>16</v>
      </c>
      <c r="B23" s="1" t="s">
        <v>32</v>
      </c>
      <c r="C23" s="11"/>
      <c r="D23" s="11"/>
      <c r="E23" s="11">
        <v>1314</v>
      </c>
      <c r="F23" s="11"/>
      <c r="G23" s="11">
        <f t="shared" si="0"/>
        <v>1314</v>
      </c>
      <c r="H23" s="17">
        <f t="shared" si="1"/>
        <v>0.62</v>
      </c>
      <c r="I23" s="16">
        <f t="shared" si="2"/>
        <v>1E-3</v>
      </c>
      <c r="J23" s="16">
        <f>ROUND(G23/447-1,2)</f>
        <v>1.94</v>
      </c>
    </row>
    <row r="24" spans="1:10" x14ac:dyDescent="0.25">
      <c r="A24" s="1" t="s">
        <v>16</v>
      </c>
      <c r="B24" s="1" t="s">
        <v>33</v>
      </c>
      <c r="C24" s="11"/>
      <c r="D24" s="11"/>
      <c r="E24" s="11">
        <v>4011</v>
      </c>
      <c r="F24" s="11"/>
      <c r="G24" s="11">
        <f t="shared" si="0"/>
        <v>4011</v>
      </c>
      <c r="H24" s="17">
        <f t="shared" si="1"/>
        <v>1.89</v>
      </c>
      <c r="I24" s="16">
        <f t="shared" si="2"/>
        <v>4.0000000000000001E-3</v>
      </c>
      <c r="J24" s="16">
        <f>ROUND(G24/1284-1,2)</f>
        <v>2.12</v>
      </c>
    </row>
    <row r="25" spans="1:10" x14ac:dyDescent="0.25">
      <c r="A25" s="1" t="s">
        <v>16</v>
      </c>
      <c r="B25" s="1" t="s">
        <v>34</v>
      </c>
      <c r="C25" s="11"/>
      <c r="D25" s="11"/>
      <c r="E25" s="11">
        <v>318</v>
      </c>
      <c r="F25" s="11"/>
      <c r="G25" s="11">
        <f t="shared" si="0"/>
        <v>318</v>
      </c>
      <c r="H25" s="17">
        <f t="shared" si="1"/>
        <v>0.15</v>
      </c>
      <c r="I25" s="16">
        <f t="shared" si="2"/>
        <v>0</v>
      </c>
      <c r="J25" s="16">
        <f>ROUND(G25/200-1,2)</f>
        <v>0.59</v>
      </c>
    </row>
    <row r="26" spans="1:10" x14ac:dyDescent="0.25">
      <c r="A26" s="1" t="s">
        <v>16</v>
      </c>
      <c r="B26" s="1" t="s">
        <v>35</v>
      </c>
      <c r="C26" s="11"/>
      <c r="D26" s="11"/>
      <c r="E26" s="11">
        <v>721</v>
      </c>
      <c r="F26" s="11"/>
      <c r="G26" s="11">
        <f t="shared" si="0"/>
        <v>721</v>
      </c>
      <c r="H26" s="17">
        <f t="shared" si="1"/>
        <v>0.34</v>
      </c>
      <c r="I26" s="16">
        <f t="shared" si="2"/>
        <v>1E-3</v>
      </c>
      <c r="J26" s="16"/>
    </row>
    <row r="27" spans="1:10" x14ac:dyDescent="0.25">
      <c r="A27" s="1" t="s">
        <v>16</v>
      </c>
      <c r="B27" s="1" t="s">
        <v>36</v>
      </c>
      <c r="C27" s="11"/>
      <c r="D27" s="11"/>
      <c r="E27" s="11">
        <v>840.5</v>
      </c>
      <c r="F27" s="11"/>
      <c r="G27" s="11">
        <f t="shared" si="0"/>
        <v>840.5</v>
      </c>
      <c r="H27" s="17">
        <f t="shared" si="1"/>
        <v>0.4</v>
      </c>
      <c r="I27" s="16">
        <f t="shared" si="2"/>
        <v>1E-3</v>
      </c>
      <c r="J27" s="16">
        <f>ROUND(G27/288-1,2)</f>
        <v>1.92</v>
      </c>
    </row>
    <row r="28" spans="1:10" x14ac:dyDescent="0.25">
      <c r="A28" s="1" t="s">
        <v>16</v>
      </c>
      <c r="B28" s="1" t="s">
        <v>37</v>
      </c>
      <c r="C28" s="11"/>
      <c r="D28" s="11"/>
      <c r="E28" s="11">
        <v>2757</v>
      </c>
      <c r="F28" s="11"/>
      <c r="G28" s="11">
        <f t="shared" si="0"/>
        <v>2757</v>
      </c>
      <c r="H28" s="17">
        <f t="shared" si="1"/>
        <v>1.3</v>
      </c>
      <c r="I28" s="16">
        <f t="shared" si="2"/>
        <v>2E-3</v>
      </c>
      <c r="J28" s="16">
        <f>ROUND(G28/1356-1,2)</f>
        <v>1.03</v>
      </c>
    </row>
    <row r="29" spans="1:10" x14ac:dyDescent="0.25">
      <c r="A29" s="1" t="s">
        <v>16</v>
      </c>
      <c r="B29" s="1" t="s">
        <v>39</v>
      </c>
      <c r="C29" s="11"/>
      <c r="D29" s="11"/>
      <c r="E29" s="11">
        <v>15008</v>
      </c>
      <c r="F29" s="11"/>
      <c r="G29" s="11">
        <f t="shared" si="0"/>
        <v>15008</v>
      </c>
      <c r="H29" s="17">
        <f t="shared" si="1"/>
        <v>7.06</v>
      </c>
      <c r="I29" s="16">
        <f t="shared" si="2"/>
        <v>1.2999999999999999E-2</v>
      </c>
      <c r="J29" s="16">
        <f>ROUND(G29/6480-1,2)</f>
        <v>1.32</v>
      </c>
    </row>
    <row r="30" spans="1:10" x14ac:dyDescent="0.25">
      <c r="A30" s="1" t="s">
        <v>16</v>
      </c>
      <c r="B30" s="1" t="s">
        <v>38</v>
      </c>
      <c r="C30" s="11"/>
      <c r="D30" s="11"/>
      <c r="E30" s="11">
        <v>7549</v>
      </c>
      <c r="F30" s="11"/>
      <c r="G30" s="11">
        <f t="shared" si="0"/>
        <v>7549</v>
      </c>
      <c r="H30" s="17">
        <f t="shared" si="1"/>
        <v>3.55</v>
      </c>
      <c r="I30" s="16">
        <f t="shared" si="2"/>
        <v>7.0000000000000001E-3</v>
      </c>
      <c r="J30" s="16">
        <f>ROUND(G30/7134-1,2)</f>
        <v>0.06</v>
      </c>
    </row>
    <row r="31" spans="1:10" x14ac:dyDescent="0.25">
      <c r="A31" s="1" t="s">
        <v>16</v>
      </c>
      <c r="B31" s="1" t="s">
        <v>40</v>
      </c>
      <c r="C31" s="11"/>
      <c r="D31" s="11"/>
      <c r="E31" s="11">
        <v>113732</v>
      </c>
      <c r="F31" s="11"/>
      <c r="G31" s="11">
        <f t="shared" si="0"/>
        <v>113732</v>
      </c>
      <c r="H31" s="17">
        <f t="shared" si="1"/>
        <v>53.47</v>
      </c>
      <c r="I31" s="16">
        <f t="shared" si="2"/>
        <v>0.10100000000000001</v>
      </c>
      <c r="J31" s="16">
        <f>ROUND(G31/61142-1,2)</f>
        <v>0.86</v>
      </c>
    </row>
    <row r="32" spans="1:10" x14ac:dyDescent="0.25">
      <c r="A32" s="1" t="s">
        <v>16</v>
      </c>
      <c r="B32" s="1" t="s">
        <v>42</v>
      </c>
      <c r="C32" s="11"/>
      <c r="D32" s="11"/>
      <c r="E32" s="11">
        <v>43080</v>
      </c>
      <c r="F32" s="11"/>
      <c r="G32" s="11">
        <f t="shared" si="0"/>
        <v>43080</v>
      </c>
      <c r="H32" s="17">
        <f t="shared" si="1"/>
        <v>20.25</v>
      </c>
      <c r="I32" s="16">
        <f t="shared" si="2"/>
        <v>3.7999999999999999E-2</v>
      </c>
      <c r="J32" s="16">
        <f>ROUND(G32/22207-1,2)</f>
        <v>0.94</v>
      </c>
    </row>
    <row r="33" spans="1:10" x14ac:dyDescent="0.25">
      <c r="A33" s="1" t="s">
        <v>16</v>
      </c>
      <c r="B33" s="1" t="s">
        <v>44</v>
      </c>
      <c r="C33" s="11"/>
      <c r="D33" s="11"/>
      <c r="E33" s="11">
        <v>61785</v>
      </c>
      <c r="F33" s="11"/>
      <c r="G33" s="11">
        <f t="shared" si="0"/>
        <v>61785</v>
      </c>
      <c r="H33" s="17">
        <f t="shared" si="1"/>
        <v>29.05</v>
      </c>
      <c r="I33" s="16">
        <f t="shared" si="2"/>
        <v>5.5E-2</v>
      </c>
      <c r="J33" s="16">
        <f>ROUND(G33/36200-1,2)</f>
        <v>0.71</v>
      </c>
    </row>
    <row r="34" spans="1:10" x14ac:dyDescent="0.25">
      <c r="A34" s="1" t="s">
        <v>16</v>
      </c>
      <c r="B34" s="1" t="s">
        <v>41</v>
      </c>
      <c r="C34" s="11"/>
      <c r="D34" s="11"/>
      <c r="E34" s="11"/>
      <c r="F34" s="11"/>
      <c r="G34" s="11">
        <f t="shared" si="0"/>
        <v>0</v>
      </c>
      <c r="H34" s="17">
        <f t="shared" si="1"/>
        <v>0</v>
      </c>
      <c r="I34" s="16">
        <f t="shared" si="2"/>
        <v>0</v>
      </c>
      <c r="J34" s="16"/>
    </row>
    <row r="35" spans="1:10" x14ac:dyDescent="0.25">
      <c r="A35" s="1" t="s">
        <v>45</v>
      </c>
      <c r="B35" s="1" t="s">
        <v>46</v>
      </c>
      <c r="C35" s="11">
        <v>191190</v>
      </c>
      <c r="D35" s="11"/>
      <c r="E35" s="11"/>
      <c r="F35" s="11"/>
      <c r="G35" s="11">
        <f t="shared" si="0"/>
        <v>191190</v>
      </c>
      <c r="H35" s="17">
        <f t="shared" si="1"/>
        <v>89.89</v>
      </c>
      <c r="I35" s="16">
        <f t="shared" si="2"/>
        <v>0.17100000000000001</v>
      </c>
      <c r="J35" s="16">
        <f>ROUND(G35/191460-1,2)</f>
        <v>0</v>
      </c>
    </row>
    <row r="36" spans="1:10" x14ac:dyDescent="0.25">
      <c r="A36" s="1" t="s">
        <v>45</v>
      </c>
      <c r="B36" s="1" t="s">
        <v>47</v>
      </c>
      <c r="C36" s="11"/>
      <c r="D36" s="11"/>
      <c r="E36" s="11">
        <v>62893</v>
      </c>
      <c r="F36" s="11"/>
      <c r="G36" s="11">
        <f t="shared" si="0"/>
        <v>62893</v>
      </c>
      <c r="H36" s="17">
        <f t="shared" si="1"/>
        <v>29.57</v>
      </c>
      <c r="I36" s="16">
        <f t="shared" si="2"/>
        <v>5.6000000000000001E-2</v>
      </c>
      <c r="J36" s="16">
        <f>ROUND(G36/36168-1,2)</f>
        <v>0.74</v>
      </c>
    </row>
    <row r="37" spans="1:10" x14ac:dyDescent="0.25">
      <c r="A37" s="1" t="s">
        <v>45</v>
      </c>
      <c r="B37" s="1" t="s">
        <v>48</v>
      </c>
      <c r="C37" s="11"/>
      <c r="D37" s="11"/>
      <c r="E37" s="11"/>
      <c r="F37" s="11"/>
      <c r="G37" s="11">
        <f t="shared" si="0"/>
        <v>0</v>
      </c>
      <c r="H37" s="17">
        <f t="shared" si="1"/>
        <v>0</v>
      </c>
      <c r="I37" s="16">
        <f t="shared" si="2"/>
        <v>0</v>
      </c>
      <c r="J37" s="16"/>
    </row>
    <row r="38" spans="1:10" x14ac:dyDescent="0.25">
      <c r="A38" s="1" t="s">
        <v>49</v>
      </c>
      <c r="B38" s="1" t="s">
        <v>50</v>
      </c>
      <c r="C38" s="11"/>
      <c r="D38" s="11"/>
      <c r="E38" s="11"/>
      <c r="F38" s="11"/>
      <c r="G38" s="11">
        <f t="shared" si="0"/>
        <v>0</v>
      </c>
      <c r="H38" s="17">
        <f t="shared" si="1"/>
        <v>0</v>
      </c>
      <c r="I38" s="16">
        <f t="shared" si="2"/>
        <v>0</v>
      </c>
      <c r="J38" s="16"/>
    </row>
    <row r="39" spans="1:10" x14ac:dyDescent="0.25">
      <c r="A39" s="1" t="s">
        <v>49</v>
      </c>
      <c r="B39" s="1" t="s">
        <v>88</v>
      </c>
      <c r="C39" s="11"/>
      <c r="D39" s="11"/>
      <c r="E39" s="11"/>
      <c r="F39" s="11"/>
      <c r="G39" s="11">
        <f t="shared" si="0"/>
        <v>0</v>
      </c>
      <c r="H39" s="17">
        <f t="shared" si="1"/>
        <v>0</v>
      </c>
      <c r="I39" s="16">
        <f t="shared" si="2"/>
        <v>0</v>
      </c>
      <c r="J39" s="16"/>
    </row>
    <row r="40" spans="1:10" x14ac:dyDescent="0.25">
      <c r="A40" s="1" t="s">
        <v>49</v>
      </c>
      <c r="B40" s="1" t="s">
        <v>51</v>
      </c>
      <c r="C40" s="11"/>
      <c r="D40" s="11"/>
      <c r="E40" s="11"/>
      <c r="F40" s="11"/>
      <c r="G40" s="11">
        <f t="shared" si="0"/>
        <v>0</v>
      </c>
      <c r="H40" s="17">
        <f t="shared" si="1"/>
        <v>0</v>
      </c>
      <c r="I40" s="16">
        <f t="shared" si="2"/>
        <v>0</v>
      </c>
      <c r="J40" s="16"/>
    </row>
    <row r="41" spans="1:10" x14ac:dyDescent="0.25">
      <c r="A41" s="1" t="s">
        <v>49</v>
      </c>
      <c r="B41" s="1" t="s">
        <v>52</v>
      </c>
      <c r="C41" s="11"/>
      <c r="D41" s="11"/>
      <c r="E41" s="11"/>
      <c r="F41" s="11"/>
      <c r="G41" s="11">
        <f t="shared" si="0"/>
        <v>0</v>
      </c>
      <c r="H41" s="17">
        <f t="shared" si="1"/>
        <v>0</v>
      </c>
      <c r="I41" s="16">
        <f t="shared" si="2"/>
        <v>0</v>
      </c>
      <c r="J41" s="16"/>
    </row>
    <row r="42" spans="1:10" x14ac:dyDescent="0.25">
      <c r="A42" s="26" t="s">
        <v>12</v>
      </c>
      <c r="B42" s="26"/>
      <c r="C42" s="12">
        <f t="shared" ref="C42:H42" si="3">SUM(C8:C41)</f>
        <v>590020</v>
      </c>
      <c r="D42" s="12">
        <f t="shared" si="3"/>
        <v>0</v>
      </c>
      <c r="E42" s="12">
        <f t="shared" si="3"/>
        <v>530623.5</v>
      </c>
      <c r="F42" s="12">
        <f t="shared" si="3"/>
        <v>0</v>
      </c>
      <c r="G42" s="12">
        <f t="shared" si="3"/>
        <v>1120643.5</v>
      </c>
      <c r="H42" s="15">
        <f t="shared" si="3"/>
        <v>526.89999999999986</v>
      </c>
      <c r="I42" s="18"/>
      <c r="J42" s="18"/>
    </row>
    <row r="43" spans="1:10" x14ac:dyDescent="0.25">
      <c r="A43" s="26" t="s">
        <v>14</v>
      </c>
      <c r="B43" s="26"/>
      <c r="C43" s="13">
        <f>ROUND(C42/G42,2)</f>
        <v>0.53</v>
      </c>
      <c r="D43" s="13">
        <f>ROUND(D42/G42,2)</f>
        <v>0</v>
      </c>
      <c r="E43" s="13">
        <f>ROUND(E42/G42,2)</f>
        <v>0.47</v>
      </c>
      <c r="F43" s="13">
        <f>ROUND(F42/G42,2)</f>
        <v>0</v>
      </c>
      <c r="G43" s="14"/>
      <c r="H43" s="14"/>
      <c r="I43" s="18"/>
      <c r="J43" s="18"/>
    </row>
    <row r="44" spans="1:10" x14ac:dyDescent="0.25">
      <c r="A44" s="2" t="s">
        <v>53</v>
      </c>
      <c r="B44" s="2"/>
      <c r="C44" s="14"/>
      <c r="D44" s="14"/>
      <c r="E44" s="14"/>
      <c r="F44" s="14"/>
      <c r="G44" s="14"/>
      <c r="H44" s="14"/>
      <c r="I44" s="18"/>
      <c r="J44" s="18"/>
    </row>
    <row r="45" spans="1:10" x14ac:dyDescent="0.25">
      <c r="C45" s="9"/>
      <c r="D45" s="9"/>
      <c r="E45" s="9"/>
      <c r="F45" s="9"/>
      <c r="G45" s="9"/>
      <c r="H45" s="9"/>
      <c r="I45" s="10"/>
      <c r="J45" s="10"/>
    </row>
    <row r="46" spans="1:10" x14ac:dyDescent="0.25">
      <c r="C46" s="9"/>
      <c r="D46" s="9"/>
      <c r="E46" s="9"/>
      <c r="F46" s="9"/>
      <c r="G46" s="9"/>
      <c r="H46" s="9"/>
      <c r="I46" s="10"/>
      <c r="J46" s="10"/>
    </row>
    <row r="47" spans="1:10" x14ac:dyDescent="0.25">
      <c r="C47" s="9"/>
      <c r="D47" s="9"/>
      <c r="E47" s="9"/>
      <c r="F47" s="9"/>
      <c r="G47" s="9"/>
      <c r="H47" s="9"/>
      <c r="I47" s="10"/>
      <c r="J47" s="10"/>
    </row>
    <row r="48" spans="1:10" x14ac:dyDescent="0.25">
      <c r="A48" s="26" t="s">
        <v>54</v>
      </c>
      <c r="B48" s="26"/>
      <c r="C48" s="12" t="s">
        <v>8</v>
      </c>
      <c r="D48" s="12" t="s">
        <v>9</v>
      </c>
      <c r="E48" s="12" t="s">
        <v>10</v>
      </c>
      <c r="F48" s="12" t="s">
        <v>11</v>
      </c>
      <c r="G48" s="12" t="s">
        <v>12</v>
      </c>
      <c r="H48" s="15" t="s">
        <v>13</v>
      </c>
      <c r="I48" s="18"/>
      <c r="J48" s="18"/>
    </row>
    <row r="49" spans="1:10" x14ac:dyDescent="0.25">
      <c r="A49" s="21" t="s">
        <v>55</v>
      </c>
      <c r="B49" s="21"/>
      <c r="C49" s="11">
        <v>398830</v>
      </c>
      <c r="D49" s="11">
        <v>0</v>
      </c>
      <c r="E49" s="11">
        <v>467730.5</v>
      </c>
      <c r="F49" s="11">
        <v>0</v>
      </c>
      <c r="G49" s="11">
        <f>SUM(C49:F49)</f>
        <v>866560.5</v>
      </c>
      <c r="H49" s="17">
        <f>ROUND(G49/2127,2)</f>
        <v>407.41</v>
      </c>
      <c r="I49" s="10"/>
      <c r="J49" s="10"/>
    </row>
    <row r="50" spans="1:10" x14ac:dyDescent="0.25">
      <c r="A50" s="21" t="s">
        <v>56</v>
      </c>
      <c r="B50" s="21"/>
      <c r="C50" s="11">
        <v>191190</v>
      </c>
      <c r="D50" s="11">
        <v>0</v>
      </c>
      <c r="E50" s="11">
        <v>62893</v>
      </c>
      <c r="F50" s="11">
        <v>0</v>
      </c>
      <c r="G50" s="11">
        <f>SUM(C50:F50)</f>
        <v>254083</v>
      </c>
      <c r="H50" s="17">
        <f>ROUND(G50/2127,2)</f>
        <v>119.46</v>
      </c>
      <c r="I50" s="10"/>
      <c r="J50" s="10"/>
    </row>
    <row r="51" spans="1:10" x14ac:dyDescent="0.25">
      <c r="A51" s="21" t="s">
        <v>57</v>
      </c>
      <c r="B51" s="21"/>
      <c r="C51" s="11">
        <v>0</v>
      </c>
      <c r="D51" s="11">
        <v>0</v>
      </c>
      <c r="E51" s="11">
        <v>0</v>
      </c>
      <c r="F51" s="11">
        <v>0</v>
      </c>
      <c r="G51" s="11">
        <f>SUM(C51:F51)</f>
        <v>0</v>
      </c>
      <c r="H51" s="17">
        <f>ROUND(G51/2127,2)</f>
        <v>0</v>
      </c>
      <c r="I51" s="10"/>
      <c r="J51" s="10"/>
    </row>
    <row r="52" spans="1:10" x14ac:dyDescent="0.25">
      <c r="C52" s="9"/>
      <c r="D52" s="9"/>
      <c r="E52" s="9"/>
      <c r="F52" s="9"/>
      <c r="G52" s="9"/>
      <c r="H52" s="9"/>
      <c r="I52" s="10"/>
      <c r="J52" s="10"/>
    </row>
    <row r="53" spans="1:10" x14ac:dyDescent="0.25">
      <c r="C53" s="9"/>
      <c r="D53" s="9"/>
      <c r="E53" s="9"/>
      <c r="F53" s="9"/>
      <c r="G53" s="9"/>
      <c r="H53" s="9"/>
      <c r="I53" s="10"/>
      <c r="J53" s="10"/>
    </row>
    <row r="54" spans="1:10" x14ac:dyDescent="0.25">
      <c r="C54" s="9"/>
      <c r="D54" s="9"/>
      <c r="E54" s="9"/>
      <c r="F54" s="9"/>
      <c r="G54" s="9"/>
      <c r="H54" s="9"/>
      <c r="I54" s="10"/>
      <c r="J54" s="10"/>
    </row>
    <row r="55" spans="1:10" x14ac:dyDescent="0.25">
      <c r="C55" s="9"/>
      <c r="D55" s="9"/>
      <c r="E55" s="9"/>
      <c r="F55" s="9"/>
      <c r="G55" s="9"/>
      <c r="H55" s="9"/>
      <c r="I55" s="10"/>
      <c r="J55" s="10"/>
    </row>
    <row r="56" spans="1:10" x14ac:dyDescent="0.25">
      <c r="A56" s="26" t="s">
        <v>58</v>
      </c>
      <c r="B56" s="26"/>
      <c r="C56" s="15" t="s">
        <v>2</v>
      </c>
      <c r="D56" s="15">
        <v>2024</v>
      </c>
      <c r="E56" s="15" t="s">
        <v>60</v>
      </c>
      <c r="F56" s="14"/>
      <c r="G56" s="15" t="s">
        <v>61</v>
      </c>
      <c r="H56" s="15" t="s">
        <v>2</v>
      </c>
      <c r="I56" s="13" t="s">
        <v>62</v>
      </c>
      <c r="J56" s="13" t="s">
        <v>60</v>
      </c>
    </row>
    <row r="57" spans="1:10" x14ac:dyDescent="0.25">
      <c r="A57" s="21" t="s">
        <v>59</v>
      </c>
      <c r="B57" s="21"/>
      <c r="C57" s="16">
        <f>ROUND(0.8052, 4)</f>
        <v>0.80520000000000003</v>
      </c>
      <c r="D57" s="16">
        <f>ROUND(0.7596, 4)</f>
        <v>0.75960000000000005</v>
      </c>
      <c r="E57" s="16">
        <f>ROUND(0.7856, 4)</f>
        <v>0.78559999999999997</v>
      </c>
      <c r="F57" s="9"/>
      <c r="G57" s="15" t="s">
        <v>63</v>
      </c>
      <c r="H57" s="27" t="s">
        <v>64</v>
      </c>
      <c r="I57" s="24" t="s">
        <v>65</v>
      </c>
      <c r="J57" s="24" t="s">
        <v>66</v>
      </c>
    </row>
    <row r="58" spans="1:10" x14ac:dyDescent="0.25">
      <c r="A58" s="21" t="s">
        <v>67</v>
      </c>
      <c r="B58" s="21"/>
      <c r="C58" s="16">
        <f>ROUND(0.8052, 4)</f>
        <v>0.80520000000000003</v>
      </c>
      <c r="D58" s="16">
        <f>ROUND(0.7213, 4)</f>
        <v>0.72130000000000005</v>
      </c>
      <c r="E58" s="16">
        <f>ROUND(0.7702, 4)</f>
        <v>0.7702</v>
      </c>
      <c r="F58" s="9"/>
      <c r="G58" s="15" t="s">
        <v>68</v>
      </c>
      <c r="H58" s="28"/>
      <c r="I58" s="25"/>
      <c r="J58" s="25"/>
    </row>
    <row r="59" spans="1:10" x14ac:dyDescent="0.25">
      <c r="C59" s="9"/>
      <c r="D59" s="9"/>
      <c r="E59" s="9"/>
      <c r="F59" s="9"/>
      <c r="G59" s="9"/>
      <c r="H59" s="9"/>
      <c r="I59" s="10"/>
      <c r="J59" s="10"/>
    </row>
    <row r="60" spans="1:10" x14ac:dyDescent="0.25">
      <c r="C60" s="9"/>
      <c r="D60" s="9"/>
      <c r="E60" s="9"/>
      <c r="F60" s="9"/>
      <c r="G60" s="9"/>
      <c r="H60" s="9"/>
      <c r="I60" s="10"/>
      <c r="J60" s="10"/>
    </row>
    <row r="61" spans="1:10" x14ac:dyDescent="0.25">
      <c r="C61" s="9"/>
      <c r="D61" s="9"/>
      <c r="E61" s="9"/>
      <c r="F61" s="9"/>
      <c r="G61" s="9"/>
      <c r="H61" s="9"/>
      <c r="I61" s="10"/>
      <c r="J61" s="10"/>
    </row>
    <row r="62" spans="1:10" x14ac:dyDescent="0.25">
      <c r="A62" s="26" t="s">
        <v>69</v>
      </c>
      <c r="B62" s="26"/>
      <c r="C62" s="15" t="s">
        <v>2</v>
      </c>
      <c r="D62" s="15" t="s">
        <v>353</v>
      </c>
      <c r="E62" s="15" t="s">
        <v>71</v>
      </c>
      <c r="F62" s="15" t="s">
        <v>72</v>
      </c>
      <c r="G62" s="15" t="s">
        <v>73</v>
      </c>
      <c r="H62" s="14"/>
      <c r="I62" s="18"/>
      <c r="J62" s="18"/>
    </row>
    <row r="63" spans="1:10" x14ac:dyDescent="0.25">
      <c r="A63" s="21" t="s">
        <v>74</v>
      </c>
      <c r="B63" s="21"/>
      <c r="C63" s="17">
        <v>89.89</v>
      </c>
      <c r="D63" s="17">
        <v>99.88</v>
      </c>
      <c r="E63" s="17">
        <v>96.15</v>
      </c>
      <c r="F63" s="17">
        <v>57.94</v>
      </c>
      <c r="G63" s="17">
        <f>12/12*C63</f>
        <v>89.89</v>
      </c>
      <c r="H63" s="9"/>
      <c r="I63" s="10"/>
      <c r="J63" s="10"/>
    </row>
    <row r="64" spans="1:10" x14ac:dyDescent="0.25">
      <c r="A64" s="21" t="s">
        <v>75</v>
      </c>
      <c r="B64" s="21"/>
      <c r="C64" s="17">
        <v>67.63</v>
      </c>
      <c r="D64" s="17">
        <v>64.849999999999994</v>
      </c>
      <c r="E64" s="17">
        <v>62.28</v>
      </c>
      <c r="F64" s="17">
        <v>66.599999999999994</v>
      </c>
      <c r="G64" s="17">
        <f>12/12*C64</f>
        <v>67.63</v>
      </c>
      <c r="H64" s="9"/>
      <c r="I64" s="10"/>
      <c r="J64" s="10"/>
    </row>
    <row r="65" spans="1:10" x14ac:dyDescent="0.25">
      <c r="A65" s="21" t="s">
        <v>76</v>
      </c>
      <c r="B65" s="21"/>
      <c r="C65" s="17">
        <v>407.41</v>
      </c>
      <c r="D65" s="17">
        <v>365.12</v>
      </c>
      <c r="E65" s="17">
        <v>300.02</v>
      </c>
      <c r="F65" s="17">
        <v>295.08</v>
      </c>
      <c r="G65" s="17">
        <f>12/12*C65</f>
        <v>407.41</v>
      </c>
      <c r="H65" s="9"/>
      <c r="I65" s="10"/>
      <c r="J65" s="10"/>
    </row>
    <row r="66" spans="1:10" x14ac:dyDescent="0.25">
      <c r="A66" s="21" t="s">
        <v>77</v>
      </c>
      <c r="B66" s="21"/>
      <c r="C66" s="17">
        <v>119.46</v>
      </c>
      <c r="D66" s="17">
        <v>127.5</v>
      </c>
      <c r="E66" s="17">
        <v>120.96</v>
      </c>
      <c r="F66" s="17">
        <v>83.12</v>
      </c>
      <c r="G66" s="17">
        <f>12/12*C66</f>
        <v>119.46</v>
      </c>
      <c r="H66" s="9"/>
      <c r="I66" s="10"/>
      <c r="J66" s="10"/>
    </row>
    <row r="67" spans="1:10" x14ac:dyDescent="0.25">
      <c r="C67" s="9"/>
      <c r="D67" s="9"/>
      <c r="E67" s="9"/>
      <c r="F67" s="9"/>
      <c r="G67" s="9"/>
      <c r="H67" s="9"/>
      <c r="I67" s="10"/>
      <c r="J67" s="10"/>
    </row>
    <row r="68" spans="1:10" x14ac:dyDescent="0.25">
      <c r="C68" s="9"/>
      <c r="D68" s="9"/>
      <c r="E68" s="9"/>
      <c r="F68" s="9"/>
      <c r="G68" s="9"/>
      <c r="H68" s="9"/>
      <c r="I68" s="10"/>
      <c r="J68" s="10"/>
    </row>
    <row r="69" spans="1:10" x14ac:dyDescent="0.25">
      <c r="A69" s="22" t="s">
        <v>61</v>
      </c>
      <c r="B69" s="23"/>
      <c r="C69" s="9"/>
      <c r="D69" s="9"/>
      <c r="E69" s="9"/>
      <c r="F69" s="9"/>
      <c r="G69" s="9"/>
      <c r="H69" s="9"/>
      <c r="I69" s="10"/>
      <c r="J69" s="10"/>
    </row>
    <row r="70" spans="1:10" x14ac:dyDescent="0.25">
      <c r="A70" s="3" t="s">
        <v>78</v>
      </c>
      <c r="B70" s="1" t="s">
        <v>354</v>
      </c>
      <c r="C70" s="9"/>
      <c r="D70" s="9"/>
      <c r="E70" s="9"/>
      <c r="F70" s="9"/>
      <c r="G70" s="9"/>
      <c r="H70" s="9"/>
      <c r="I70" s="10"/>
      <c r="J70" s="10"/>
    </row>
    <row r="71" spans="1:10" x14ac:dyDescent="0.25">
      <c r="A71" s="3" t="s">
        <v>71</v>
      </c>
      <c r="B71" s="1" t="s">
        <v>80</v>
      </c>
      <c r="C71" s="9"/>
      <c r="D71" s="9"/>
      <c r="E71" s="9"/>
      <c r="F71" s="9"/>
      <c r="G71" s="9"/>
      <c r="H71" s="9"/>
      <c r="I71" s="10"/>
      <c r="J71" s="10"/>
    </row>
    <row r="72" spans="1:10" x14ac:dyDescent="0.25">
      <c r="A72" s="3" t="s">
        <v>72</v>
      </c>
      <c r="B72" s="1" t="s">
        <v>81</v>
      </c>
    </row>
    <row r="73" spans="1:10" x14ac:dyDescent="0.25">
      <c r="A73" s="3" t="s">
        <v>73</v>
      </c>
      <c r="B73" s="1" t="s">
        <v>82</v>
      </c>
    </row>
  </sheetData>
  <mergeCells count="19">
    <mergeCell ref="C7:G7"/>
    <mergeCell ref="A42:B42"/>
    <mergeCell ref="A43:B43"/>
    <mergeCell ref="A48:B48"/>
    <mergeCell ref="A49:B49"/>
    <mergeCell ref="J57:J58"/>
    <mergeCell ref="A58:B58"/>
    <mergeCell ref="A62:B62"/>
    <mergeCell ref="A63:B63"/>
    <mergeCell ref="A50:B50"/>
    <mergeCell ref="A51:B51"/>
    <mergeCell ref="A56:B56"/>
    <mergeCell ref="A57:B57"/>
    <mergeCell ref="H57:H58"/>
    <mergeCell ref="A64:B64"/>
    <mergeCell ref="A65:B65"/>
    <mergeCell ref="A66:B66"/>
    <mergeCell ref="A69:B69"/>
    <mergeCell ref="I57:I5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J73"/>
  <sheetViews>
    <sheetView workbookViewId="0">
      <selection activeCell="H5" sqref="H5"/>
    </sheetView>
  </sheetViews>
  <sheetFormatPr defaultRowHeight="15" x14ac:dyDescent="0.25"/>
  <cols>
    <col min="1" max="1" width="28.42578125" bestFit="1" customWidth="1"/>
    <col min="2" max="2" width="59.5703125" bestFit="1" customWidth="1"/>
    <col min="3" max="3" width="12.7109375" bestFit="1" customWidth="1"/>
    <col min="4" max="4" width="22.140625" bestFit="1" customWidth="1"/>
    <col min="5" max="5" width="13.85546875" bestFit="1" customWidth="1"/>
    <col min="6" max="6" width="8.5703125" bestFit="1" customWidth="1"/>
    <col min="7" max="7" width="47.7109375" bestFit="1" customWidth="1"/>
    <col min="8" max="9" width="16.7109375" bestFit="1" customWidth="1"/>
    <col min="10" max="10" width="24.42578125" bestFit="1" customWidth="1"/>
  </cols>
  <sheetData>
    <row r="2" spans="1:10" ht="18.75" x14ac:dyDescent="0.3">
      <c r="A2" s="3" t="s">
        <v>0</v>
      </c>
      <c r="B2" s="4" t="s">
        <v>109</v>
      </c>
    </row>
    <row r="3" spans="1:10" x14ac:dyDescent="0.25">
      <c r="A3" s="3" t="s">
        <v>2</v>
      </c>
      <c r="B3" s="1" t="s">
        <v>3</v>
      </c>
    </row>
    <row r="4" spans="1:10" x14ac:dyDescent="0.25">
      <c r="A4" s="3" t="s">
        <v>4</v>
      </c>
      <c r="B4" s="20">
        <v>3926</v>
      </c>
    </row>
    <row r="7" spans="1:10" x14ac:dyDescent="0.25">
      <c r="C7" s="22" t="s">
        <v>5</v>
      </c>
      <c r="D7" s="21"/>
      <c r="E7" s="21"/>
      <c r="F7" s="21"/>
      <c r="G7" s="21"/>
    </row>
    <row r="8" spans="1:10" x14ac:dyDescent="0.25">
      <c r="A8" s="3" t="s">
        <v>6</v>
      </c>
      <c r="B8" s="3" t="s">
        <v>7</v>
      </c>
      <c r="C8" s="15" t="s">
        <v>8</v>
      </c>
      <c r="D8" s="15" t="s">
        <v>9</v>
      </c>
      <c r="E8" s="15" t="s">
        <v>10</v>
      </c>
      <c r="F8" s="15" t="s">
        <v>11</v>
      </c>
      <c r="G8" s="15" t="s">
        <v>12</v>
      </c>
      <c r="H8" s="15" t="s">
        <v>13</v>
      </c>
      <c r="I8" s="15" t="s">
        <v>14</v>
      </c>
      <c r="J8" s="15" t="s">
        <v>15</v>
      </c>
    </row>
    <row r="9" spans="1:10" x14ac:dyDescent="0.25">
      <c r="A9" s="1" t="s">
        <v>16</v>
      </c>
      <c r="B9" s="1" t="s">
        <v>17</v>
      </c>
      <c r="C9" s="11"/>
      <c r="D9" s="11"/>
      <c r="E9" s="11">
        <v>143</v>
      </c>
      <c r="F9" s="11"/>
      <c r="G9" s="11">
        <f t="shared" ref="G9:G41" si="0">SUM(C9:F9)</f>
        <v>143</v>
      </c>
      <c r="H9" s="17">
        <f t="shared" ref="H9:H41" si="1">ROUND(G9/3926,2)</f>
        <v>0.04</v>
      </c>
      <c r="I9" s="16">
        <f t="shared" ref="I9:I41" si="2">ROUND(G9/$G$42,3)</f>
        <v>0</v>
      </c>
      <c r="J9" s="16">
        <f>ROUND(G9/159-1,2)</f>
        <v>-0.1</v>
      </c>
    </row>
    <row r="10" spans="1:10" x14ac:dyDescent="0.25">
      <c r="A10" s="1" t="s">
        <v>16</v>
      </c>
      <c r="B10" s="1" t="s">
        <v>19</v>
      </c>
      <c r="C10" s="11">
        <v>162110</v>
      </c>
      <c r="D10" s="11"/>
      <c r="E10" s="11">
        <v>6835</v>
      </c>
      <c r="F10" s="11">
        <v>1210</v>
      </c>
      <c r="G10" s="11">
        <f t="shared" si="0"/>
        <v>170155</v>
      </c>
      <c r="H10" s="17">
        <f t="shared" si="1"/>
        <v>43.34</v>
      </c>
      <c r="I10" s="16">
        <f t="shared" si="2"/>
        <v>9.5000000000000001E-2</v>
      </c>
      <c r="J10" s="16">
        <f>ROUND(G10/171425-1,2)</f>
        <v>-0.01</v>
      </c>
    </row>
    <row r="11" spans="1:10" x14ac:dyDescent="0.25">
      <c r="A11" s="1" t="s">
        <v>16</v>
      </c>
      <c r="B11" s="1" t="s">
        <v>20</v>
      </c>
      <c r="C11" s="11">
        <v>184470</v>
      </c>
      <c r="D11" s="11"/>
      <c r="E11" s="11"/>
      <c r="F11" s="11"/>
      <c r="G11" s="11">
        <f t="shared" si="0"/>
        <v>184470</v>
      </c>
      <c r="H11" s="17">
        <f t="shared" si="1"/>
        <v>46.99</v>
      </c>
      <c r="I11" s="16">
        <f t="shared" si="2"/>
        <v>0.10299999999999999</v>
      </c>
      <c r="J11" s="16">
        <f>ROUND(G11/175760-1,2)</f>
        <v>0.05</v>
      </c>
    </row>
    <row r="12" spans="1:10" x14ac:dyDescent="0.25">
      <c r="A12" s="1" t="s">
        <v>16</v>
      </c>
      <c r="B12" s="1" t="s">
        <v>87</v>
      </c>
      <c r="C12" s="11"/>
      <c r="D12" s="11"/>
      <c r="E12" s="11">
        <v>268</v>
      </c>
      <c r="F12" s="11"/>
      <c r="G12" s="11">
        <f t="shared" si="0"/>
        <v>268</v>
      </c>
      <c r="H12" s="17">
        <f t="shared" si="1"/>
        <v>7.0000000000000007E-2</v>
      </c>
      <c r="I12" s="16">
        <f t="shared" si="2"/>
        <v>0</v>
      </c>
      <c r="J12" s="16">
        <f>ROUND(G12/387-1,2)</f>
        <v>-0.31</v>
      </c>
    </row>
    <row r="13" spans="1:10" x14ac:dyDescent="0.25">
      <c r="A13" s="1" t="s">
        <v>16</v>
      </c>
      <c r="B13" s="1" t="s">
        <v>21</v>
      </c>
      <c r="C13" s="11"/>
      <c r="D13" s="11"/>
      <c r="E13" s="11">
        <v>431</v>
      </c>
      <c r="F13" s="11"/>
      <c r="G13" s="11">
        <f t="shared" si="0"/>
        <v>431</v>
      </c>
      <c r="H13" s="17">
        <f t="shared" si="1"/>
        <v>0.11</v>
      </c>
      <c r="I13" s="16">
        <f t="shared" si="2"/>
        <v>0</v>
      </c>
      <c r="J13" s="16">
        <f>ROUND(G13/419-1,2)</f>
        <v>0.03</v>
      </c>
    </row>
    <row r="14" spans="1:10" x14ac:dyDescent="0.25">
      <c r="A14" s="1" t="s">
        <v>16</v>
      </c>
      <c r="B14" s="1" t="s">
        <v>22</v>
      </c>
      <c r="C14" s="11"/>
      <c r="D14" s="11"/>
      <c r="E14" s="11">
        <v>1400</v>
      </c>
      <c r="F14" s="11"/>
      <c r="G14" s="11">
        <f t="shared" si="0"/>
        <v>1400</v>
      </c>
      <c r="H14" s="17">
        <f t="shared" si="1"/>
        <v>0.36</v>
      </c>
      <c r="I14" s="16">
        <f t="shared" si="2"/>
        <v>1E-3</v>
      </c>
      <c r="J14" s="16">
        <f>ROUND(G14/1760-1,2)</f>
        <v>-0.2</v>
      </c>
    </row>
    <row r="15" spans="1:10" x14ac:dyDescent="0.25">
      <c r="A15" s="1" t="s">
        <v>16</v>
      </c>
      <c r="B15" s="1" t="s">
        <v>96</v>
      </c>
      <c r="C15" s="11"/>
      <c r="D15" s="11"/>
      <c r="E15" s="11"/>
      <c r="F15" s="11">
        <v>160</v>
      </c>
      <c r="G15" s="11">
        <f t="shared" si="0"/>
        <v>160</v>
      </c>
      <c r="H15" s="17">
        <f t="shared" si="1"/>
        <v>0.04</v>
      </c>
      <c r="I15" s="16">
        <f t="shared" si="2"/>
        <v>0</v>
      </c>
      <c r="J15" s="16"/>
    </row>
    <row r="16" spans="1:10" x14ac:dyDescent="0.25">
      <c r="A16" s="1" t="s">
        <v>16</v>
      </c>
      <c r="B16" s="1" t="s">
        <v>23</v>
      </c>
      <c r="C16" s="11"/>
      <c r="D16" s="11"/>
      <c r="E16" s="11">
        <v>88760</v>
      </c>
      <c r="F16" s="11"/>
      <c r="G16" s="11">
        <f t="shared" si="0"/>
        <v>88760</v>
      </c>
      <c r="H16" s="17">
        <f t="shared" si="1"/>
        <v>22.61</v>
      </c>
      <c r="I16" s="16">
        <f t="shared" si="2"/>
        <v>0.05</v>
      </c>
      <c r="J16" s="16">
        <f>ROUND(G16/43260-1,2)</f>
        <v>1.05</v>
      </c>
    </row>
    <row r="17" spans="1:10" x14ac:dyDescent="0.25">
      <c r="A17" s="1" t="s">
        <v>16</v>
      </c>
      <c r="B17" s="1" t="s">
        <v>24</v>
      </c>
      <c r="C17" s="11">
        <v>241925</v>
      </c>
      <c r="D17" s="11"/>
      <c r="E17" s="11">
        <v>27060</v>
      </c>
      <c r="F17" s="11"/>
      <c r="G17" s="11">
        <f t="shared" si="0"/>
        <v>268985</v>
      </c>
      <c r="H17" s="17">
        <f t="shared" si="1"/>
        <v>68.510000000000005</v>
      </c>
      <c r="I17" s="16">
        <f t="shared" si="2"/>
        <v>0.151</v>
      </c>
      <c r="J17" s="16">
        <f>ROUND(G17/263165-1,2)</f>
        <v>0.02</v>
      </c>
    </row>
    <row r="18" spans="1:10" x14ac:dyDescent="0.25">
      <c r="A18" s="1" t="s">
        <v>16</v>
      </c>
      <c r="B18" s="1" t="s">
        <v>25</v>
      </c>
      <c r="C18" s="11"/>
      <c r="D18" s="11"/>
      <c r="E18" s="11">
        <v>8030</v>
      </c>
      <c r="F18" s="11"/>
      <c r="G18" s="11">
        <f t="shared" si="0"/>
        <v>8030</v>
      </c>
      <c r="H18" s="17">
        <f t="shared" si="1"/>
        <v>2.0499999999999998</v>
      </c>
      <c r="I18" s="16">
        <f t="shared" si="2"/>
        <v>4.0000000000000001E-3</v>
      </c>
      <c r="J18" s="16">
        <f>ROUND(G18/9950-1,2)</f>
        <v>-0.19</v>
      </c>
    </row>
    <row r="19" spans="1:10" x14ac:dyDescent="0.25">
      <c r="A19" s="1" t="s">
        <v>16</v>
      </c>
      <c r="B19" s="1" t="s">
        <v>26</v>
      </c>
      <c r="C19" s="11">
        <v>366320</v>
      </c>
      <c r="D19" s="11"/>
      <c r="E19" s="11"/>
      <c r="F19" s="11">
        <v>580</v>
      </c>
      <c r="G19" s="11">
        <f t="shared" si="0"/>
        <v>366900</v>
      </c>
      <c r="H19" s="17">
        <f t="shared" si="1"/>
        <v>93.45</v>
      </c>
      <c r="I19" s="16">
        <f t="shared" si="2"/>
        <v>0.20599999999999999</v>
      </c>
      <c r="J19" s="16">
        <f>ROUND(G19/363160-1,2)</f>
        <v>0.01</v>
      </c>
    </row>
    <row r="20" spans="1:10" x14ac:dyDescent="0.25">
      <c r="A20" s="1" t="s">
        <v>16</v>
      </c>
      <c r="B20" s="1" t="s">
        <v>27</v>
      </c>
      <c r="C20" s="11"/>
      <c r="D20" s="11"/>
      <c r="E20" s="11">
        <v>826</v>
      </c>
      <c r="F20" s="11"/>
      <c r="G20" s="11">
        <f t="shared" si="0"/>
        <v>826</v>
      </c>
      <c r="H20" s="17">
        <f t="shared" si="1"/>
        <v>0.21</v>
      </c>
      <c r="I20" s="16">
        <f t="shared" si="2"/>
        <v>0</v>
      </c>
      <c r="J20" s="16">
        <f>ROUND(G20/862-1,2)</f>
        <v>-0.04</v>
      </c>
    </row>
    <row r="21" spans="1:10" x14ac:dyDescent="0.25">
      <c r="A21" s="1" t="s">
        <v>16</v>
      </c>
      <c r="B21" s="1" t="s">
        <v>28</v>
      </c>
      <c r="C21" s="11"/>
      <c r="D21" s="11"/>
      <c r="E21" s="11">
        <v>625</v>
      </c>
      <c r="F21" s="11"/>
      <c r="G21" s="11">
        <f t="shared" si="0"/>
        <v>625</v>
      </c>
      <c r="H21" s="17">
        <f t="shared" si="1"/>
        <v>0.16</v>
      </c>
      <c r="I21" s="16">
        <f t="shared" si="2"/>
        <v>0</v>
      </c>
      <c r="J21" s="16">
        <f>ROUND(G21/407-1,2)</f>
        <v>0.54</v>
      </c>
    </row>
    <row r="22" spans="1:10" x14ac:dyDescent="0.25">
      <c r="A22" s="1" t="s">
        <v>16</v>
      </c>
      <c r="B22" s="1" t="s">
        <v>29</v>
      </c>
      <c r="C22" s="11"/>
      <c r="D22" s="11"/>
      <c r="E22" s="11">
        <v>150</v>
      </c>
      <c r="F22" s="11"/>
      <c r="G22" s="11">
        <f t="shared" si="0"/>
        <v>150</v>
      </c>
      <c r="H22" s="17">
        <f t="shared" si="1"/>
        <v>0.04</v>
      </c>
      <c r="I22" s="16">
        <f t="shared" si="2"/>
        <v>0</v>
      </c>
      <c r="J22" s="16">
        <f>ROUND(G22/373-1,2)</f>
        <v>-0.6</v>
      </c>
    </row>
    <row r="23" spans="1:10" x14ac:dyDescent="0.25">
      <c r="A23" s="1" t="s">
        <v>16</v>
      </c>
      <c r="B23" s="1" t="s">
        <v>30</v>
      </c>
      <c r="C23" s="11"/>
      <c r="D23" s="11"/>
      <c r="E23" s="11">
        <v>2710</v>
      </c>
      <c r="F23" s="11"/>
      <c r="G23" s="11">
        <f t="shared" si="0"/>
        <v>2710</v>
      </c>
      <c r="H23" s="17">
        <f t="shared" si="1"/>
        <v>0.69</v>
      </c>
      <c r="I23" s="16">
        <f t="shared" si="2"/>
        <v>2E-3</v>
      </c>
      <c r="J23" s="16">
        <f>ROUND(G23/5770-1,2)</f>
        <v>-0.53</v>
      </c>
    </row>
    <row r="24" spans="1:10" x14ac:dyDescent="0.25">
      <c r="A24" s="1" t="s">
        <v>16</v>
      </c>
      <c r="B24" s="1" t="s">
        <v>31</v>
      </c>
      <c r="C24" s="11"/>
      <c r="D24" s="11"/>
      <c r="E24" s="11">
        <v>1300</v>
      </c>
      <c r="F24" s="11"/>
      <c r="G24" s="11">
        <f t="shared" si="0"/>
        <v>1300</v>
      </c>
      <c r="H24" s="17">
        <f t="shared" si="1"/>
        <v>0.33</v>
      </c>
      <c r="I24" s="16">
        <f t="shared" si="2"/>
        <v>1E-3</v>
      </c>
      <c r="J24" s="16">
        <f>ROUND(G24/980-1,2)</f>
        <v>0.33</v>
      </c>
    </row>
    <row r="25" spans="1:10" x14ac:dyDescent="0.25">
      <c r="A25" s="1" t="s">
        <v>16</v>
      </c>
      <c r="B25" s="1" t="s">
        <v>32</v>
      </c>
      <c r="C25" s="11"/>
      <c r="D25" s="11"/>
      <c r="E25" s="11">
        <v>1120</v>
      </c>
      <c r="F25" s="11"/>
      <c r="G25" s="11">
        <f t="shared" si="0"/>
        <v>1120</v>
      </c>
      <c r="H25" s="17">
        <f t="shared" si="1"/>
        <v>0.28999999999999998</v>
      </c>
      <c r="I25" s="16">
        <f t="shared" si="2"/>
        <v>1E-3</v>
      </c>
      <c r="J25" s="16">
        <f>ROUND(G25/750-1,2)</f>
        <v>0.49</v>
      </c>
    </row>
    <row r="26" spans="1:10" x14ac:dyDescent="0.25">
      <c r="A26" s="1" t="s">
        <v>16</v>
      </c>
      <c r="B26" s="1" t="s">
        <v>33</v>
      </c>
      <c r="C26" s="11"/>
      <c r="D26" s="11"/>
      <c r="E26" s="11">
        <v>2962</v>
      </c>
      <c r="F26" s="11"/>
      <c r="G26" s="11">
        <f t="shared" si="0"/>
        <v>2962</v>
      </c>
      <c r="H26" s="17">
        <f t="shared" si="1"/>
        <v>0.75</v>
      </c>
      <c r="I26" s="16">
        <f t="shared" si="2"/>
        <v>2E-3</v>
      </c>
      <c r="J26" s="16">
        <f>ROUND(G26/2215-1,2)</f>
        <v>0.34</v>
      </c>
    </row>
    <row r="27" spans="1:10" x14ac:dyDescent="0.25">
      <c r="A27" s="1" t="s">
        <v>16</v>
      </c>
      <c r="B27" s="1" t="s">
        <v>34</v>
      </c>
      <c r="C27" s="11"/>
      <c r="D27" s="11">
        <v>104</v>
      </c>
      <c r="E27" s="11">
        <v>193</v>
      </c>
      <c r="F27" s="11"/>
      <c r="G27" s="11">
        <f t="shared" si="0"/>
        <v>297</v>
      </c>
      <c r="H27" s="17">
        <f t="shared" si="1"/>
        <v>0.08</v>
      </c>
      <c r="I27" s="16">
        <f t="shared" si="2"/>
        <v>0</v>
      </c>
      <c r="J27" s="16">
        <f>ROUND(G27/387-1,2)</f>
        <v>-0.23</v>
      </c>
    </row>
    <row r="28" spans="1:10" x14ac:dyDescent="0.25">
      <c r="A28" s="1" t="s">
        <v>16</v>
      </c>
      <c r="B28" s="1" t="s">
        <v>36</v>
      </c>
      <c r="C28" s="11"/>
      <c r="D28" s="11"/>
      <c r="E28" s="11">
        <v>379</v>
      </c>
      <c r="F28" s="11"/>
      <c r="G28" s="11">
        <f t="shared" si="0"/>
        <v>379</v>
      </c>
      <c r="H28" s="17">
        <f t="shared" si="1"/>
        <v>0.1</v>
      </c>
      <c r="I28" s="16">
        <f t="shared" si="2"/>
        <v>0</v>
      </c>
      <c r="J28" s="16">
        <f>ROUND(G28/995-1,2)</f>
        <v>-0.62</v>
      </c>
    </row>
    <row r="29" spans="1:10" x14ac:dyDescent="0.25">
      <c r="A29" s="1" t="s">
        <v>16</v>
      </c>
      <c r="B29" s="1" t="s">
        <v>35</v>
      </c>
      <c r="C29" s="11"/>
      <c r="D29" s="11"/>
      <c r="E29" s="11">
        <v>1930</v>
      </c>
      <c r="F29" s="11"/>
      <c r="G29" s="11">
        <f t="shared" si="0"/>
        <v>1930</v>
      </c>
      <c r="H29" s="17">
        <f t="shared" si="1"/>
        <v>0.49</v>
      </c>
      <c r="I29" s="16">
        <f t="shared" si="2"/>
        <v>1E-3</v>
      </c>
      <c r="J29" s="16">
        <f>ROUND(G29/2110-1,2)</f>
        <v>-0.09</v>
      </c>
    </row>
    <row r="30" spans="1:10" x14ac:dyDescent="0.25">
      <c r="A30" s="1" t="s">
        <v>16</v>
      </c>
      <c r="B30" s="1" t="s">
        <v>37</v>
      </c>
      <c r="C30" s="11"/>
      <c r="D30" s="11"/>
      <c r="E30" s="11">
        <v>1290</v>
      </c>
      <c r="F30" s="11"/>
      <c r="G30" s="11">
        <f t="shared" si="0"/>
        <v>1290</v>
      </c>
      <c r="H30" s="17">
        <f t="shared" si="1"/>
        <v>0.33</v>
      </c>
      <c r="I30" s="16">
        <f t="shared" si="2"/>
        <v>1E-3</v>
      </c>
      <c r="J30" s="16">
        <f>ROUND(G30/2430-1,2)</f>
        <v>-0.47</v>
      </c>
    </row>
    <row r="31" spans="1:10" x14ac:dyDescent="0.25">
      <c r="A31" s="1" t="s">
        <v>16</v>
      </c>
      <c r="B31" s="1" t="s">
        <v>38</v>
      </c>
      <c r="C31" s="11"/>
      <c r="D31" s="11"/>
      <c r="E31" s="11">
        <v>3519</v>
      </c>
      <c r="F31" s="11"/>
      <c r="G31" s="11">
        <f t="shared" si="0"/>
        <v>3519</v>
      </c>
      <c r="H31" s="17">
        <f t="shared" si="1"/>
        <v>0.9</v>
      </c>
      <c r="I31" s="16">
        <f t="shared" si="2"/>
        <v>2E-3</v>
      </c>
      <c r="J31" s="16">
        <f>ROUND(G31/9353-1,2)</f>
        <v>-0.62</v>
      </c>
    </row>
    <row r="32" spans="1:10" x14ac:dyDescent="0.25">
      <c r="A32" s="1" t="s">
        <v>16</v>
      </c>
      <c r="B32" s="1" t="s">
        <v>39</v>
      </c>
      <c r="C32" s="11"/>
      <c r="D32" s="11"/>
      <c r="E32" s="11">
        <v>6200</v>
      </c>
      <c r="F32" s="11"/>
      <c r="G32" s="11">
        <f t="shared" si="0"/>
        <v>6200</v>
      </c>
      <c r="H32" s="17">
        <f t="shared" si="1"/>
        <v>1.58</v>
      </c>
      <c r="I32" s="16">
        <f t="shared" si="2"/>
        <v>3.0000000000000001E-3</v>
      </c>
      <c r="J32" s="16">
        <f>ROUND(G32/11740-1,2)</f>
        <v>-0.47</v>
      </c>
    </row>
    <row r="33" spans="1:10" x14ac:dyDescent="0.25">
      <c r="A33" s="1" t="s">
        <v>16</v>
      </c>
      <c r="B33" s="1" t="s">
        <v>40</v>
      </c>
      <c r="C33" s="11"/>
      <c r="D33" s="11"/>
      <c r="E33" s="11">
        <v>107740</v>
      </c>
      <c r="F33" s="11"/>
      <c r="G33" s="11">
        <f t="shared" si="0"/>
        <v>107740</v>
      </c>
      <c r="H33" s="17">
        <f t="shared" si="1"/>
        <v>27.44</v>
      </c>
      <c r="I33" s="16">
        <f t="shared" si="2"/>
        <v>0.06</v>
      </c>
      <c r="J33" s="16">
        <f>ROUND(G33/105040-1,2)</f>
        <v>0.03</v>
      </c>
    </row>
    <row r="34" spans="1:10" x14ac:dyDescent="0.25">
      <c r="A34" s="1" t="s">
        <v>16</v>
      </c>
      <c r="B34" s="1" t="s">
        <v>41</v>
      </c>
      <c r="C34" s="11"/>
      <c r="D34" s="11"/>
      <c r="E34" s="11">
        <v>6580</v>
      </c>
      <c r="F34" s="11"/>
      <c r="G34" s="11">
        <f t="shared" si="0"/>
        <v>6580</v>
      </c>
      <c r="H34" s="17">
        <f t="shared" si="1"/>
        <v>1.68</v>
      </c>
      <c r="I34" s="16">
        <f t="shared" si="2"/>
        <v>4.0000000000000001E-3</v>
      </c>
      <c r="J34" s="16">
        <f>ROUND(G34/7685-1,2)</f>
        <v>-0.14000000000000001</v>
      </c>
    </row>
    <row r="35" spans="1:10" x14ac:dyDescent="0.25">
      <c r="A35" s="1" t="s">
        <v>16</v>
      </c>
      <c r="B35" s="1" t="s">
        <v>42</v>
      </c>
      <c r="C35" s="11"/>
      <c r="D35" s="11"/>
      <c r="E35" s="11">
        <v>24930</v>
      </c>
      <c r="F35" s="11"/>
      <c r="G35" s="11">
        <f t="shared" si="0"/>
        <v>24930</v>
      </c>
      <c r="H35" s="17">
        <f t="shared" si="1"/>
        <v>6.35</v>
      </c>
      <c r="I35" s="16">
        <f t="shared" si="2"/>
        <v>1.4E-2</v>
      </c>
      <c r="J35" s="16">
        <f>ROUND(G35/32090-1,2)</f>
        <v>-0.22</v>
      </c>
    </row>
    <row r="36" spans="1:10" x14ac:dyDescent="0.25">
      <c r="A36" s="1" t="s">
        <v>16</v>
      </c>
      <c r="B36" s="1" t="s">
        <v>44</v>
      </c>
      <c r="C36" s="11"/>
      <c r="D36" s="11"/>
      <c r="E36" s="11">
        <v>184300</v>
      </c>
      <c r="F36" s="11">
        <v>6660</v>
      </c>
      <c r="G36" s="11">
        <f t="shared" si="0"/>
        <v>190960</v>
      </c>
      <c r="H36" s="17">
        <f t="shared" si="1"/>
        <v>48.64</v>
      </c>
      <c r="I36" s="16">
        <f t="shared" si="2"/>
        <v>0.107</v>
      </c>
      <c r="J36" s="16">
        <f>ROUND(G36/191740-1,2)</f>
        <v>0</v>
      </c>
    </row>
    <row r="37" spans="1:10" x14ac:dyDescent="0.25">
      <c r="A37" s="1" t="s">
        <v>45</v>
      </c>
      <c r="B37" s="1" t="s">
        <v>46</v>
      </c>
      <c r="C37" s="11">
        <v>230540</v>
      </c>
      <c r="D37" s="11"/>
      <c r="E37" s="11"/>
      <c r="F37" s="11">
        <v>940</v>
      </c>
      <c r="G37" s="11">
        <f t="shared" si="0"/>
        <v>231480</v>
      </c>
      <c r="H37" s="17">
        <f t="shared" si="1"/>
        <v>58.96</v>
      </c>
      <c r="I37" s="16">
        <f t="shared" si="2"/>
        <v>0.13</v>
      </c>
      <c r="J37" s="16">
        <f>ROUND(G37/239360-1,2)</f>
        <v>-0.03</v>
      </c>
    </row>
    <row r="38" spans="1:10" x14ac:dyDescent="0.25">
      <c r="A38" s="1" t="s">
        <v>45</v>
      </c>
      <c r="B38" s="1" t="s">
        <v>48</v>
      </c>
      <c r="C38" s="11"/>
      <c r="D38" s="11"/>
      <c r="E38" s="11"/>
      <c r="F38" s="11">
        <v>47360</v>
      </c>
      <c r="G38" s="11">
        <f t="shared" si="0"/>
        <v>47360</v>
      </c>
      <c r="H38" s="17">
        <f t="shared" si="1"/>
        <v>12.06</v>
      </c>
      <c r="I38" s="16">
        <f t="shared" si="2"/>
        <v>2.7E-2</v>
      </c>
      <c r="J38" s="16">
        <f>ROUND(G38/47140-1,2)</f>
        <v>0</v>
      </c>
    </row>
    <row r="39" spans="1:10" x14ac:dyDescent="0.25">
      <c r="A39" s="1" t="s">
        <v>45</v>
      </c>
      <c r="B39" s="1" t="s">
        <v>47</v>
      </c>
      <c r="C39" s="11"/>
      <c r="D39" s="11"/>
      <c r="E39" s="11">
        <v>63170</v>
      </c>
      <c r="F39" s="11"/>
      <c r="G39" s="11">
        <f t="shared" si="0"/>
        <v>63170</v>
      </c>
      <c r="H39" s="17">
        <f t="shared" si="1"/>
        <v>16.09</v>
      </c>
      <c r="I39" s="16">
        <f t="shared" si="2"/>
        <v>3.5000000000000003E-2</v>
      </c>
      <c r="J39" s="16">
        <f>ROUND(G39/55005-1,2)</f>
        <v>0.15</v>
      </c>
    </row>
    <row r="40" spans="1:10" x14ac:dyDescent="0.25">
      <c r="A40" s="1" t="s">
        <v>49</v>
      </c>
      <c r="B40" s="1" t="s">
        <v>52</v>
      </c>
      <c r="C40" s="11"/>
      <c r="D40" s="11"/>
      <c r="E40" s="11"/>
      <c r="F40" s="11"/>
      <c r="G40" s="11">
        <f t="shared" si="0"/>
        <v>0</v>
      </c>
      <c r="H40" s="17">
        <f t="shared" si="1"/>
        <v>0</v>
      </c>
      <c r="I40" s="16">
        <f t="shared" si="2"/>
        <v>0</v>
      </c>
      <c r="J40" s="16"/>
    </row>
    <row r="41" spans="1:10" x14ac:dyDescent="0.25">
      <c r="A41" s="1" t="s">
        <v>49</v>
      </c>
      <c r="B41" s="1" t="s">
        <v>88</v>
      </c>
      <c r="C41" s="11"/>
      <c r="D41" s="11"/>
      <c r="E41" s="11"/>
      <c r="F41" s="11"/>
      <c r="G41" s="11">
        <f t="shared" si="0"/>
        <v>0</v>
      </c>
      <c r="H41" s="17">
        <f t="shared" si="1"/>
        <v>0</v>
      </c>
      <c r="I41" s="16">
        <f t="shared" si="2"/>
        <v>0</v>
      </c>
      <c r="J41" s="16"/>
    </row>
    <row r="42" spans="1:10" x14ac:dyDescent="0.25">
      <c r="A42" s="26" t="s">
        <v>12</v>
      </c>
      <c r="B42" s="26"/>
      <c r="C42" s="12">
        <f t="shared" ref="C42:H42" si="3">SUM(C8:C41)</f>
        <v>1185365</v>
      </c>
      <c r="D42" s="12">
        <f t="shared" si="3"/>
        <v>104</v>
      </c>
      <c r="E42" s="12">
        <f t="shared" si="3"/>
        <v>542851</v>
      </c>
      <c r="F42" s="12">
        <f t="shared" si="3"/>
        <v>56910</v>
      </c>
      <c r="G42" s="12">
        <f t="shared" si="3"/>
        <v>1785230</v>
      </c>
      <c r="H42" s="15">
        <f t="shared" si="3"/>
        <v>454.73999999999995</v>
      </c>
      <c r="I42" s="18"/>
      <c r="J42" s="18"/>
    </row>
    <row r="43" spans="1:10" x14ac:dyDescent="0.25">
      <c r="A43" s="26" t="s">
        <v>14</v>
      </c>
      <c r="B43" s="26"/>
      <c r="C43" s="13">
        <f>ROUND(C42/G42,2)</f>
        <v>0.66</v>
      </c>
      <c r="D43" s="13">
        <f>ROUND(D42/G42,2)</f>
        <v>0</v>
      </c>
      <c r="E43" s="13">
        <f>ROUND(E42/G42,2)</f>
        <v>0.3</v>
      </c>
      <c r="F43" s="13">
        <f>ROUND(F42/G42,2)</f>
        <v>0.03</v>
      </c>
      <c r="G43" s="14"/>
      <c r="H43" s="14"/>
      <c r="I43" s="18"/>
      <c r="J43" s="18"/>
    </row>
    <row r="44" spans="1:10" x14ac:dyDescent="0.25">
      <c r="A44" s="2" t="s">
        <v>53</v>
      </c>
      <c r="B44" s="2"/>
      <c r="C44" s="14"/>
      <c r="D44" s="14"/>
      <c r="E44" s="14"/>
      <c r="F44" s="14"/>
      <c r="G44" s="14"/>
      <c r="H44" s="14"/>
      <c r="I44" s="18"/>
      <c r="J44" s="18"/>
    </row>
    <row r="45" spans="1:10" x14ac:dyDescent="0.25">
      <c r="C45" s="9"/>
      <c r="D45" s="9"/>
      <c r="E45" s="9"/>
      <c r="F45" s="9"/>
      <c r="G45" s="9"/>
      <c r="H45" s="9"/>
      <c r="I45" s="10"/>
      <c r="J45" s="10"/>
    </row>
    <row r="46" spans="1:10" x14ac:dyDescent="0.25">
      <c r="C46" s="9"/>
      <c r="D46" s="9"/>
      <c r="E46" s="9"/>
      <c r="F46" s="9"/>
      <c r="G46" s="9"/>
      <c r="H46" s="9"/>
      <c r="I46" s="10"/>
      <c r="J46" s="10"/>
    </row>
    <row r="47" spans="1:10" x14ac:dyDescent="0.25">
      <c r="C47" s="9"/>
      <c r="D47" s="9"/>
      <c r="E47" s="9"/>
      <c r="F47" s="9"/>
      <c r="G47" s="9"/>
      <c r="H47" s="9"/>
      <c r="I47" s="10"/>
      <c r="J47" s="10"/>
    </row>
    <row r="48" spans="1:10" x14ac:dyDescent="0.25">
      <c r="A48" s="26" t="s">
        <v>54</v>
      </c>
      <c r="B48" s="26"/>
      <c r="C48" s="12" t="s">
        <v>8</v>
      </c>
      <c r="D48" s="12" t="s">
        <v>9</v>
      </c>
      <c r="E48" s="12" t="s">
        <v>10</v>
      </c>
      <c r="F48" s="12" t="s">
        <v>11</v>
      </c>
      <c r="G48" s="12" t="s">
        <v>12</v>
      </c>
      <c r="H48" s="15" t="s">
        <v>13</v>
      </c>
      <c r="I48" s="18"/>
      <c r="J48" s="18"/>
    </row>
    <row r="49" spans="1:10" x14ac:dyDescent="0.25">
      <c r="A49" s="21" t="s">
        <v>55</v>
      </c>
      <c r="B49" s="21"/>
      <c r="C49" s="11">
        <v>954825</v>
      </c>
      <c r="D49" s="11">
        <v>104</v>
      </c>
      <c r="E49" s="11">
        <v>479681</v>
      </c>
      <c r="F49" s="11">
        <v>8610</v>
      </c>
      <c r="G49" s="11">
        <f>SUM(C49:F49)</f>
        <v>1443220</v>
      </c>
      <c r="H49" s="17">
        <f>ROUND(G49/3926,2)</f>
        <v>367.61</v>
      </c>
      <c r="I49" s="10"/>
      <c r="J49" s="10"/>
    </row>
    <row r="50" spans="1:10" x14ac:dyDescent="0.25">
      <c r="A50" s="21" t="s">
        <v>56</v>
      </c>
      <c r="B50" s="21"/>
      <c r="C50" s="11">
        <v>230540</v>
      </c>
      <c r="D50" s="11">
        <v>0</v>
      </c>
      <c r="E50" s="11">
        <v>63170</v>
      </c>
      <c r="F50" s="11">
        <v>48300</v>
      </c>
      <c r="G50" s="11">
        <f>SUM(C50:F50)</f>
        <v>342010</v>
      </c>
      <c r="H50" s="17">
        <f>ROUND(G50/3926,2)</f>
        <v>87.11</v>
      </c>
      <c r="I50" s="10"/>
      <c r="J50" s="10"/>
    </row>
    <row r="51" spans="1:10" x14ac:dyDescent="0.25">
      <c r="A51" s="21" t="s">
        <v>57</v>
      </c>
      <c r="B51" s="21"/>
      <c r="C51" s="11">
        <v>0</v>
      </c>
      <c r="D51" s="11">
        <v>0</v>
      </c>
      <c r="E51" s="11">
        <v>0</v>
      </c>
      <c r="F51" s="11">
        <v>0</v>
      </c>
      <c r="G51" s="11">
        <f>SUM(C51:F51)</f>
        <v>0</v>
      </c>
      <c r="H51" s="17">
        <f>ROUND(G51/3926,2)</f>
        <v>0</v>
      </c>
      <c r="I51" s="10"/>
      <c r="J51" s="10"/>
    </row>
    <row r="52" spans="1:10" x14ac:dyDescent="0.25">
      <c r="C52" s="9"/>
      <c r="D52" s="9"/>
      <c r="E52" s="9"/>
      <c r="F52" s="9"/>
      <c r="G52" s="9"/>
      <c r="H52" s="9"/>
      <c r="I52" s="10"/>
      <c r="J52" s="10"/>
    </row>
    <row r="53" spans="1:10" x14ac:dyDescent="0.25">
      <c r="C53" s="9"/>
      <c r="D53" s="9"/>
      <c r="E53" s="9"/>
      <c r="F53" s="9"/>
      <c r="G53" s="9"/>
      <c r="H53" s="9"/>
      <c r="I53" s="10"/>
      <c r="J53" s="10"/>
    </row>
    <row r="54" spans="1:10" x14ac:dyDescent="0.25">
      <c r="C54" s="9"/>
      <c r="D54" s="9"/>
      <c r="E54" s="9"/>
      <c r="F54" s="9"/>
      <c r="G54" s="9"/>
      <c r="H54" s="9"/>
      <c r="I54" s="10"/>
      <c r="J54" s="10"/>
    </row>
    <row r="55" spans="1:10" x14ac:dyDescent="0.25">
      <c r="C55" s="9"/>
      <c r="D55" s="9"/>
      <c r="E55" s="9"/>
      <c r="F55" s="9"/>
      <c r="G55" s="9"/>
      <c r="H55" s="9"/>
      <c r="I55" s="10"/>
      <c r="J55" s="10"/>
    </row>
    <row r="56" spans="1:10" x14ac:dyDescent="0.25">
      <c r="A56" s="26" t="s">
        <v>58</v>
      </c>
      <c r="B56" s="26"/>
      <c r="C56" s="15" t="s">
        <v>2</v>
      </c>
      <c r="D56" s="15">
        <v>2024</v>
      </c>
      <c r="E56" s="15" t="s">
        <v>60</v>
      </c>
      <c r="F56" s="14"/>
      <c r="G56" s="15" t="s">
        <v>61</v>
      </c>
      <c r="H56" s="15" t="s">
        <v>2</v>
      </c>
      <c r="I56" s="13" t="s">
        <v>62</v>
      </c>
      <c r="J56" s="13" t="s">
        <v>60</v>
      </c>
    </row>
    <row r="57" spans="1:10" x14ac:dyDescent="0.25">
      <c r="A57" s="21" t="s">
        <v>59</v>
      </c>
      <c r="B57" s="21"/>
      <c r="C57" s="16">
        <f>ROUND(0.8634, 4)</f>
        <v>0.86339999999999995</v>
      </c>
      <c r="D57" s="16">
        <f>ROUND(0.852, 4)</f>
        <v>0.85199999999999998</v>
      </c>
      <c r="E57" s="16">
        <f>ROUND(0.7856, 4)</f>
        <v>0.78559999999999997</v>
      </c>
      <c r="F57" s="9"/>
      <c r="G57" s="15" t="s">
        <v>63</v>
      </c>
      <c r="H57" s="27" t="s">
        <v>64</v>
      </c>
      <c r="I57" s="24" t="s">
        <v>65</v>
      </c>
      <c r="J57" s="24" t="s">
        <v>66</v>
      </c>
    </row>
    <row r="58" spans="1:10" x14ac:dyDescent="0.25">
      <c r="A58" s="21" t="s">
        <v>67</v>
      </c>
      <c r="B58" s="21"/>
      <c r="C58" s="16">
        <f>ROUND(0.8634, 4)</f>
        <v>0.86339999999999995</v>
      </c>
      <c r="D58" s="16">
        <f>ROUND(0.839, 4)</f>
        <v>0.83899999999999997</v>
      </c>
      <c r="E58" s="16">
        <f>ROUND(0.7702, 4)</f>
        <v>0.7702</v>
      </c>
      <c r="F58" s="9"/>
      <c r="G58" s="15" t="s">
        <v>68</v>
      </c>
      <c r="H58" s="28"/>
      <c r="I58" s="25"/>
      <c r="J58" s="25"/>
    </row>
    <row r="59" spans="1:10" x14ac:dyDescent="0.25">
      <c r="C59" s="9"/>
      <c r="D59" s="9"/>
      <c r="E59" s="9"/>
      <c r="F59" s="9"/>
      <c r="G59" s="9"/>
      <c r="H59" s="9"/>
      <c r="I59" s="10"/>
      <c r="J59" s="10"/>
    </row>
    <row r="60" spans="1:10" x14ac:dyDescent="0.25">
      <c r="C60" s="9"/>
      <c r="D60" s="9"/>
      <c r="E60" s="9"/>
      <c r="F60" s="9"/>
      <c r="G60" s="9"/>
      <c r="H60" s="9"/>
      <c r="I60" s="10"/>
      <c r="J60" s="10"/>
    </row>
    <row r="61" spans="1:10" x14ac:dyDescent="0.25">
      <c r="C61" s="9"/>
      <c r="D61" s="9"/>
      <c r="E61" s="9"/>
      <c r="F61" s="9"/>
      <c r="G61" s="9"/>
      <c r="H61" s="9"/>
      <c r="I61" s="10"/>
      <c r="J61" s="10"/>
    </row>
    <row r="62" spans="1:10" x14ac:dyDescent="0.25">
      <c r="A62" s="26" t="s">
        <v>69</v>
      </c>
      <c r="B62" s="26"/>
      <c r="C62" s="15" t="s">
        <v>2</v>
      </c>
      <c r="D62" s="15" t="s">
        <v>110</v>
      </c>
      <c r="E62" s="15" t="s">
        <v>71</v>
      </c>
      <c r="F62" s="15" t="s">
        <v>72</v>
      </c>
      <c r="G62" s="15" t="s">
        <v>73</v>
      </c>
      <c r="H62" s="14"/>
      <c r="I62" s="18"/>
      <c r="J62" s="18"/>
    </row>
    <row r="63" spans="1:10" x14ac:dyDescent="0.25">
      <c r="A63" s="21" t="s">
        <v>74</v>
      </c>
      <c r="B63" s="21"/>
      <c r="C63" s="17">
        <v>58.96</v>
      </c>
      <c r="D63" s="17">
        <v>57.02</v>
      </c>
      <c r="E63" s="17">
        <v>96.15</v>
      </c>
      <c r="F63" s="17">
        <v>57.94</v>
      </c>
      <c r="G63" s="17">
        <f>12/12*C63</f>
        <v>58.96</v>
      </c>
      <c r="H63" s="9"/>
      <c r="I63" s="10"/>
      <c r="J63" s="10"/>
    </row>
    <row r="64" spans="1:10" x14ac:dyDescent="0.25">
      <c r="A64" s="21" t="s">
        <v>75</v>
      </c>
      <c r="B64" s="21"/>
      <c r="C64" s="17">
        <v>93.45</v>
      </c>
      <c r="D64" s="17">
        <v>88.11</v>
      </c>
      <c r="E64" s="17">
        <v>62.28</v>
      </c>
      <c r="F64" s="17">
        <v>66.599999999999994</v>
      </c>
      <c r="G64" s="17">
        <f>12/12*C64</f>
        <v>93.45</v>
      </c>
      <c r="H64" s="9"/>
      <c r="I64" s="10"/>
      <c r="J64" s="10"/>
    </row>
    <row r="65" spans="1:10" x14ac:dyDescent="0.25">
      <c r="A65" s="21" t="s">
        <v>76</v>
      </c>
      <c r="B65" s="21"/>
      <c r="C65" s="17">
        <v>367.61</v>
      </c>
      <c r="D65" s="17">
        <v>348.73</v>
      </c>
      <c r="E65" s="17">
        <v>300.02</v>
      </c>
      <c r="F65" s="17">
        <v>295.08</v>
      </c>
      <c r="G65" s="17">
        <f>12/12*C65</f>
        <v>367.61</v>
      </c>
      <c r="H65" s="9"/>
      <c r="I65" s="10"/>
      <c r="J65" s="10"/>
    </row>
    <row r="66" spans="1:10" x14ac:dyDescent="0.25">
      <c r="A66" s="21" t="s">
        <v>77</v>
      </c>
      <c r="B66" s="21"/>
      <c r="C66" s="17">
        <v>87.11</v>
      </c>
      <c r="D66" s="17">
        <v>82.16</v>
      </c>
      <c r="E66" s="17">
        <v>120.96</v>
      </c>
      <c r="F66" s="17">
        <v>83.12</v>
      </c>
      <c r="G66" s="17">
        <f>12/12*C66</f>
        <v>87.11</v>
      </c>
      <c r="H66" s="9"/>
      <c r="I66" s="10"/>
      <c r="J66" s="10"/>
    </row>
    <row r="67" spans="1:10" x14ac:dyDescent="0.25">
      <c r="C67" s="9"/>
      <c r="D67" s="9"/>
      <c r="E67" s="9"/>
      <c r="F67" s="9"/>
      <c r="G67" s="9"/>
      <c r="H67" s="9"/>
      <c r="I67" s="10"/>
      <c r="J67" s="10"/>
    </row>
    <row r="69" spans="1:10" x14ac:dyDescent="0.25">
      <c r="A69" s="22" t="s">
        <v>61</v>
      </c>
      <c r="B69" s="23"/>
    </row>
    <row r="70" spans="1:10" x14ac:dyDescent="0.25">
      <c r="A70" s="3" t="s">
        <v>78</v>
      </c>
      <c r="B70" s="1" t="s">
        <v>111</v>
      </c>
    </row>
    <row r="71" spans="1:10" x14ac:dyDescent="0.25">
      <c r="A71" s="3" t="s">
        <v>71</v>
      </c>
      <c r="B71" s="1" t="s">
        <v>80</v>
      </c>
    </row>
    <row r="72" spans="1:10" x14ac:dyDescent="0.25">
      <c r="A72" s="3" t="s">
        <v>72</v>
      </c>
      <c r="B72" s="1" t="s">
        <v>81</v>
      </c>
    </row>
    <row r="73" spans="1:10" x14ac:dyDescent="0.25">
      <c r="A73" s="3" t="s">
        <v>73</v>
      </c>
      <c r="B73" s="1" t="s">
        <v>82</v>
      </c>
    </row>
  </sheetData>
  <mergeCells count="19">
    <mergeCell ref="C7:G7"/>
    <mergeCell ref="A42:B42"/>
    <mergeCell ref="A43:B43"/>
    <mergeCell ref="A48:B48"/>
    <mergeCell ref="A49:B49"/>
    <mergeCell ref="J57:J58"/>
    <mergeCell ref="A58:B58"/>
    <mergeCell ref="A62:B62"/>
    <mergeCell ref="A63:B63"/>
    <mergeCell ref="A50:B50"/>
    <mergeCell ref="A51:B51"/>
    <mergeCell ref="A56:B56"/>
    <mergeCell ref="A57:B57"/>
    <mergeCell ref="H57:H58"/>
    <mergeCell ref="A64:B64"/>
    <mergeCell ref="A65:B65"/>
    <mergeCell ref="A66:B66"/>
    <mergeCell ref="A69:B69"/>
    <mergeCell ref="I57:I58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A2:J71"/>
  <sheetViews>
    <sheetView workbookViewId="0"/>
  </sheetViews>
  <sheetFormatPr defaultRowHeight="15" x14ac:dyDescent="0.25"/>
  <cols>
    <col min="1" max="1" width="28.42578125" bestFit="1" customWidth="1"/>
    <col min="2" max="2" width="59.5703125" bestFit="1" customWidth="1"/>
    <col min="3" max="3" width="12.7109375" bestFit="1" customWidth="1"/>
    <col min="4" max="4" width="21" bestFit="1" customWidth="1"/>
    <col min="5" max="5" width="13.85546875" bestFit="1" customWidth="1"/>
    <col min="6" max="6" width="8.5703125" bestFit="1" customWidth="1"/>
    <col min="7" max="7" width="47.7109375" bestFit="1" customWidth="1"/>
    <col min="8" max="9" width="16.7109375" bestFit="1" customWidth="1"/>
    <col min="10" max="10" width="24.42578125" bestFit="1" customWidth="1"/>
  </cols>
  <sheetData>
    <row r="2" spans="1:10" ht="18.75" x14ac:dyDescent="0.3">
      <c r="A2" s="3" t="s">
        <v>0</v>
      </c>
      <c r="B2" s="4" t="s">
        <v>355</v>
      </c>
    </row>
    <row r="3" spans="1:10" x14ac:dyDescent="0.25">
      <c r="A3" s="3" t="s">
        <v>2</v>
      </c>
      <c r="B3" s="1" t="s">
        <v>3</v>
      </c>
    </row>
    <row r="4" spans="1:10" x14ac:dyDescent="0.25">
      <c r="A4" s="3" t="s">
        <v>4</v>
      </c>
      <c r="B4" s="19">
        <v>535</v>
      </c>
    </row>
    <row r="7" spans="1:10" x14ac:dyDescent="0.25">
      <c r="C7" s="22" t="s">
        <v>5</v>
      </c>
      <c r="D7" s="21"/>
      <c r="E7" s="21"/>
      <c r="F7" s="21"/>
      <c r="G7" s="21"/>
    </row>
    <row r="8" spans="1:10" x14ac:dyDescent="0.25">
      <c r="A8" s="3" t="s">
        <v>6</v>
      </c>
      <c r="B8" s="3" t="s">
        <v>7</v>
      </c>
      <c r="C8" s="15" t="s">
        <v>8</v>
      </c>
      <c r="D8" s="15" t="s">
        <v>9</v>
      </c>
      <c r="E8" s="15" t="s">
        <v>10</v>
      </c>
      <c r="F8" s="15" t="s">
        <v>11</v>
      </c>
      <c r="G8" s="15" t="s">
        <v>12</v>
      </c>
      <c r="H8" s="15" t="s">
        <v>13</v>
      </c>
      <c r="I8" s="15" t="s">
        <v>14</v>
      </c>
      <c r="J8" s="15" t="s">
        <v>15</v>
      </c>
    </row>
    <row r="9" spans="1:10" x14ac:dyDescent="0.25">
      <c r="A9" s="1" t="s">
        <v>16</v>
      </c>
      <c r="B9" s="1" t="s">
        <v>17</v>
      </c>
      <c r="C9" s="5"/>
      <c r="D9" s="5"/>
      <c r="E9" s="5">
        <v>44</v>
      </c>
      <c r="F9" s="5"/>
      <c r="G9" s="5">
        <f t="shared" ref="G9:G39" si="0">SUM(C9:F9)</f>
        <v>44</v>
      </c>
      <c r="H9" s="1">
        <f t="shared" ref="H9:H39" si="1">ROUND(G9/535,2)</f>
        <v>0.08</v>
      </c>
      <c r="I9" s="1">
        <f t="shared" ref="I9:I39" si="2">ROUND(G9/$G$40,3)</f>
        <v>0</v>
      </c>
      <c r="J9" s="1">
        <f>ROUND(G9/23-1,2)</f>
        <v>0.91</v>
      </c>
    </row>
    <row r="10" spans="1:10" x14ac:dyDescent="0.25">
      <c r="A10" s="1" t="s">
        <v>16</v>
      </c>
      <c r="B10" s="1" t="s">
        <v>19</v>
      </c>
      <c r="C10" s="5">
        <v>20340</v>
      </c>
      <c r="D10" s="5"/>
      <c r="E10" s="5">
        <v>3298</v>
      </c>
      <c r="F10" s="5"/>
      <c r="G10" s="5">
        <f t="shared" si="0"/>
        <v>23638</v>
      </c>
      <c r="H10" s="1">
        <f t="shared" si="1"/>
        <v>44.18</v>
      </c>
      <c r="I10" s="1">
        <f t="shared" si="2"/>
        <v>0.1</v>
      </c>
      <c r="J10" s="1">
        <f>ROUND(G10/25669-1,2)</f>
        <v>-0.08</v>
      </c>
    </row>
    <row r="11" spans="1:10" x14ac:dyDescent="0.25">
      <c r="A11" s="1" t="s">
        <v>16</v>
      </c>
      <c r="B11" s="1" t="s">
        <v>20</v>
      </c>
      <c r="C11" s="5">
        <v>21620</v>
      </c>
      <c r="D11" s="5"/>
      <c r="E11" s="5"/>
      <c r="F11" s="5"/>
      <c r="G11" s="5">
        <f t="shared" si="0"/>
        <v>21620</v>
      </c>
      <c r="H11" s="1">
        <f t="shared" si="1"/>
        <v>40.409999999999997</v>
      </c>
      <c r="I11" s="1">
        <f t="shared" si="2"/>
        <v>9.0999999999999998E-2</v>
      </c>
      <c r="J11" s="1">
        <f>ROUND(G11/25593-1,2)</f>
        <v>-0.16</v>
      </c>
    </row>
    <row r="12" spans="1:10" x14ac:dyDescent="0.25">
      <c r="A12" s="1" t="s">
        <v>16</v>
      </c>
      <c r="B12" s="1" t="s">
        <v>87</v>
      </c>
      <c r="C12" s="5"/>
      <c r="D12" s="5"/>
      <c r="E12" s="5">
        <v>10</v>
      </c>
      <c r="F12" s="5"/>
      <c r="G12" s="5">
        <f t="shared" si="0"/>
        <v>10</v>
      </c>
      <c r="H12" s="1">
        <f t="shared" si="1"/>
        <v>0.02</v>
      </c>
      <c r="I12" s="1">
        <f t="shared" si="2"/>
        <v>0</v>
      </c>
      <c r="J12" s="1"/>
    </row>
    <row r="13" spans="1:10" x14ac:dyDescent="0.25">
      <c r="A13" s="1" t="s">
        <v>16</v>
      </c>
      <c r="B13" s="1" t="s">
        <v>21</v>
      </c>
      <c r="C13" s="5"/>
      <c r="D13" s="5"/>
      <c r="E13" s="5">
        <v>66</v>
      </c>
      <c r="F13" s="5"/>
      <c r="G13" s="5">
        <f t="shared" si="0"/>
        <v>66</v>
      </c>
      <c r="H13" s="1">
        <f t="shared" si="1"/>
        <v>0.12</v>
      </c>
      <c r="I13" s="1">
        <f t="shared" si="2"/>
        <v>0</v>
      </c>
      <c r="J13" s="1">
        <f>ROUND(G13/53-1,2)</f>
        <v>0.25</v>
      </c>
    </row>
    <row r="14" spans="1:10" x14ac:dyDescent="0.25">
      <c r="A14" s="1" t="s">
        <v>16</v>
      </c>
      <c r="B14" s="1" t="s">
        <v>22</v>
      </c>
      <c r="C14" s="5"/>
      <c r="D14" s="5"/>
      <c r="E14" s="5">
        <v>540</v>
      </c>
      <c r="F14" s="5"/>
      <c r="G14" s="5">
        <f t="shared" si="0"/>
        <v>540</v>
      </c>
      <c r="H14" s="1">
        <f t="shared" si="1"/>
        <v>1.01</v>
      </c>
      <c r="I14" s="1">
        <f t="shared" si="2"/>
        <v>2E-3</v>
      </c>
      <c r="J14" s="1">
        <f>ROUND(G14/499-1,2)</f>
        <v>0.08</v>
      </c>
    </row>
    <row r="15" spans="1:10" x14ac:dyDescent="0.25">
      <c r="A15" s="1" t="s">
        <v>16</v>
      </c>
      <c r="B15" s="1" t="s">
        <v>23</v>
      </c>
      <c r="C15" s="5"/>
      <c r="D15" s="5"/>
      <c r="E15" s="5">
        <v>23000</v>
      </c>
      <c r="F15" s="5"/>
      <c r="G15" s="5">
        <f t="shared" si="0"/>
        <v>23000</v>
      </c>
      <c r="H15" s="1">
        <f t="shared" si="1"/>
        <v>42.99</v>
      </c>
      <c r="I15" s="1">
        <f t="shared" si="2"/>
        <v>9.7000000000000003E-2</v>
      </c>
      <c r="J15" s="1">
        <f>ROUND(G15/21522-1,2)</f>
        <v>7.0000000000000007E-2</v>
      </c>
    </row>
    <row r="16" spans="1:10" x14ac:dyDescent="0.25">
      <c r="A16" s="1" t="s">
        <v>16</v>
      </c>
      <c r="B16" s="1" t="s">
        <v>24</v>
      </c>
      <c r="C16" s="5">
        <v>21840</v>
      </c>
      <c r="D16" s="5"/>
      <c r="E16" s="5">
        <v>5704</v>
      </c>
      <c r="F16" s="5"/>
      <c r="G16" s="5">
        <f t="shared" si="0"/>
        <v>27544</v>
      </c>
      <c r="H16" s="1">
        <f t="shared" si="1"/>
        <v>51.48</v>
      </c>
      <c r="I16" s="1">
        <f t="shared" si="2"/>
        <v>0.11600000000000001</v>
      </c>
      <c r="J16" s="1">
        <f>ROUND(G16/29020-1,2)</f>
        <v>-0.05</v>
      </c>
    </row>
    <row r="17" spans="1:10" x14ac:dyDescent="0.25">
      <c r="A17" s="1" t="s">
        <v>16</v>
      </c>
      <c r="B17" s="1" t="s">
        <v>25</v>
      </c>
      <c r="C17" s="5"/>
      <c r="D17" s="5"/>
      <c r="E17" s="5">
        <v>1351</v>
      </c>
      <c r="F17" s="5"/>
      <c r="G17" s="5">
        <f t="shared" si="0"/>
        <v>1351</v>
      </c>
      <c r="H17" s="1">
        <f t="shared" si="1"/>
        <v>2.5299999999999998</v>
      </c>
      <c r="I17" s="1">
        <f t="shared" si="2"/>
        <v>6.0000000000000001E-3</v>
      </c>
      <c r="J17" s="1">
        <f>ROUND(G17/1300-1,2)</f>
        <v>0.04</v>
      </c>
    </row>
    <row r="18" spans="1:10" x14ac:dyDescent="0.25">
      <c r="A18" s="1" t="s">
        <v>16</v>
      </c>
      <c r="B18" s="1" t="s">
        <v>26</v>
      </c>
      <c r="C18" s="5">
        <v>19370</v>
      </c>
      <c r="D18" s="5"/>
      <c r="E18" s="5"/>
      <c r="F18" s="5"/>
      <c r="G18" s="5">
        <f t="shared" si="0"/>
        <v>19370</v>
      </c>
      <c r="H18" s="1">
        <f t="shared" si="1"/>
        <v>36.21</v>
      </c>
      <c r="I18" s="1">
        <f t="shared" si="2"/>
        <v>8.2000000000000003E-2</v>
      </c>
      <c r="J18" s="1">
        <f>ROUND(G18/17980-1,2)</f>
        <v>0.08</v>
      </c>
    </row>
    <row r="19" spans="1:10" x14ac:dyDescent="0.25">
      <c r="A19" s="1" t="s">
        <v>16</v>
      </c>
      <c r="B19" s="1" t="s">
        <v>27</v>
      </c>
      <c r="C19" s="5"/>
      <c r="D19" s="5"/>
      <c r="E19" s="5">
        <v>294</v>
      </c>
      <c r="F19" s="5"/>
      <c r="G19" s="5">
        <f t="shared" si="0"/>
        <v>294</v>
      </c>
      <c r="H19" s="1">
        <f t="shared" si="1"/>
        <v>0.55000000000000004</v>
      </c>
      <c r="I19" s="1">
        <f t="shared" si="2"/>
        <v>1E-3</v>
      </c>
      <c r="J19" s="1">
        <f>ROUND(G19/190-1,2)</f>
        <v>0.55000000000000004</v>
      </c>
    </row>
    <row r="20" spans="1:10" x14ac:dyDescent="0.25">
      <c r="A20" s="1" t="s">
        <v>16</v>
      </c>
      <c r="B20" s="1" t="s">
        <v>28</v>
      </c>
      <c r="C20" s="5"/>
      <c r="D20" s="5"/>
      <c r="E20" s="5">
        <v>205</v>
      </c>
      <c r="F20" s="5"/>
      <c r="G20" s="5">
        <f t="shared" si="0"/>
        <v>205</v>
      </c>
      <c r="H20" s="1">
        <f t="shared" si="1"/>
        <v>0.38</v>
      </c>
      <c r="I20" s="1">
        <f t="shared" si="2"/>
        <v>1E-3</v>
      </c>
      <c r="J20" s="1">
        <f>ROUND(G20/115-1,2)</f>
        <v>0.78</v>
      </c>
    </row>
    <row r="21" spans="1:10" x14ac:dyDescent="0.25">
      <c r="A21" s="1" t="s">
        <v>16</v>
      </c>
      <c r="B21" s="1" t="s">
        <v>29</v>
      </c>
      <c r="C21" s="5"/>
      <c r="D21" s="5"/>
      <c r="E21" s="5">
        <v>55</v>
      </c>
      <c r="F21" s="5"/>
      <c r="G21" s="5">
        <f t="shared" si="0"/>
        <v>55</v>
      </c>
      <c r="H21" s="1">
        <f t="shared" si="1"/>
        <v>0.1</v>
      </c>
      <c r="I21" s="1">
        <f t="shared" si="2"/>
        <v>0</v>
      </c>
      <c r="J21" s="1"/>
    </row>
    <row r="22" spans="1:10" x14ac:dyDescent="0.25">
      <c r="A22" s="1" t="s">
        <v>16</v>
      </c>
      <c r="B22" s="1" t="s">
        <v>30</v>
      </c>
      <c r="C22" s="5"/>
      <c r="D22" s="5"/>
      <c r="E22" s="5">
        <v>774</v>
      </c>
      <c r="F22" s="5"/>
      <c r="G22" s="5">
        <f t="shared" si="0"/>
        <v>774</v>
      </c>
      <c r="H22" s="1">
        <f t="shared" si="1"/>
        <v>1.45</v>
      </c>
      <c r="I22" s="1">
        <f t="shared" si="2"/>
        <v>3.0000000000000001E-3</v>
      </c>
      <c r="J22" s="1">
        <f>ROUND(G22/804-1,2)</f>
        <v>-0.04</v>
      </c>
    </row>
    <row r="23" spans="1:10" x14ac:dyDescent="0.25">
      <c r="A23" s="1" t="s">
        <v>16</v>
      </c>
      <c r="B23" s="1" t="s">
        <v>31</v>
      </c>
      <c r="C23" s="5"/>
      <c r="D23" s="5"/>
      <c r="E23" s="5">
        <v>261</v>
      </c>
      <c r="F23" s="5"/>
      <c r="G23" s="5">
        <f t="shared" si="0"/>
        <v>261</v>
      </c>
      <c r="H23" s="1">
        <f t="shared" si="1"/>
        <v>0.49</v>
      </c>
      <c r="I23" s="1">
        <f t="shared" si="2"/>
        <v>1E-3</v>
      </c>
      <c r="J23" s="1">
        <f>ROUND(G23/273-1,2)</f>
        <v>-0.04</v>
      </c>
    </row>
    <row r="24" spans="1:10" x14ac:dyDescent="0.25">
      <c r="A24" s="1" t="s">
        <v>16</v>
      </c>
      <c r="B24" s="1" t="s">
        <v>33</v>
      </c>
      <c r="C24" s="5"/>
      <c r="D24" s="5"/>
      <c r="E24" s="5">
        <v>460</v>
      </c>
      <c r="F24" s="5"/>
      <c r="G24" s="5">
        <f t="shared" si="0"/>
        <v>460</v>
      </c>
      <c r="H24" s="1">
        <f t="shared" si="1"/>
        <v>0.86</v>
      </c>
      <c r="I24" s="1">
        <f t="shared" si="2"/>
        <v>2E-3</v>
      </c>
      <c r="J24" s="1">
        <f>ROUND(G24/397-1,2)</f>
        <v>0.16</v>
      </c>
    </row>
    <row r="25" spans="1:10" x14ac:dyDescent="0.25">
      <c r="A25" s="1" t="s">
        <v>16</v>
      </c>
      <c r="B25" s="1" t="s">
        <v>34</v>
      </c>
      <c r="C25" s="5"/>
      <c r="D25" s="5"/>
      <c r="E25" s="5">
        <v>15</v>
      </c>
      <c r="F25" s="5"/>
      <c r="G25" s="5">
        <f t="shared" si="0"/>
        <v>15</v>
      </c>
      <c r="H25" s="1">
        <f t="shared" si="1"/>
        <v>0.03</v>
      </c>
      <c r="I25" s="1">
        <f t="shared" si="2"/>
        <v>0</v>
      </c>
      <c r="J25" s="1">
        <f>ROUND(G25/27-1,2)</f>
        <v>-0.44</v>
      </c>
    </row>
    <row r="26" spans="1:10" x14ac:dyDescent="0.25">
      <c r="A26" s="1" t="s">
        <v>16</v>
      </c>
      <c r="B26" s="1" t="s">
        <v>35</v>
      </c>
      <c r="C26" s="5"/>
      <c r="D26" s="5"/>
      <c r="E26" s="5">
        <v>410</v>
      </c>
      <c r="F26" s="5"/>
      <c r="G26" s="5">
        <f t="shared" si="0"/>
        <v>410</v>
      </c>
      <c r="H26" s="1">
        <f t="shared" si="1"/>
        <v>0.77</v>
      </c>
      <c r="I26" s="1">
        <f t="shared" si="2"/>
        <v>2E-3</v>
      </c>
      <c r="J26" s="1">
        <f>ROUND(G26/110-1,2)</f>
        <v>2.73</v>
      </c>
    </row>
    <row r="27" spans="1:10" x14ac:dyDescent="0.25">
      <c r="A27" s="1" t="s">
        <v>16</v>
      </c>
      <c r="B27" s="1" t="s">
        <v>37</v>
      </c>
      <c r="C27" s="5"/>
      <c r="D27" s="5"/>
      <c r="E27" s="5">
        <v>518</v>
      </c>
      <c r="F27" s="5"/>
      <c r="G27" s="5">
        <f t="shared" si="0"/>
        <v>518</v>
      </c>
      <c r="H27" s="1">
        <f t="shared" si="1"/>
        <v>0.97</v>
      </c>
      <c r="I27" s="1">
        <f t="shared" si="2"/>
        <v>2E-3</v>
      </c>
      <c r="J27" s="1">
        <f>ROUND(G27/479-1,2)</f>
        <v>0.08</v>
      </c>
    </row>
    <row r="28" spans="1:10" x14ac:dyDescent="0.25">
      <c r="A28" s="1" t="s">
        <v>16</v>
      </c>
      <c r="B28" s="1" t="s">
        <v>38</v>
      </c>
      <c r="C28" s="5"/>
      <c r="D28" s="5"/>
      <c r="E28" s="5">
        <v>1580</v>
      </c>
      <c r="F28" s="5"/>
      <c r="G28" s="5">
        <f t="shared" si="0"/>
        <v>1580</v>
      </c>
      <c r="H28" s="1">
        <f t="shared" si="1"/>
        <v>2.95</v>
      </c>
      <c r="I28" s="1">
        <f t="shared" si="2"/>
        <v>7.0000000000000001E-3</v>
      </c>
      <c r="J28" s="1">
        <f>ROUND(G28/1703-1,2)</f>
        <v>-7.0000000000000007E-2</v>
      </c>
    </row>
    <row r="29" spans="1:10" x14ac:dyDescent="0.25">
      <c r="A29" s="1" t="s">
        <v>16</v>
      </c>
      <c r="B29" s="1" t="s">
        <v>39</v>
      </c>
      <c r="C29" s="5"/>
      <c r="D29" s="5"/>
      <c r="E29" s="5">
        <v>2293</v>
      </c>
      <c r="F29" s="5"/>
      <c r="G29" s="5">
        <f t="shared" si="0"/>
        <v>2293</v>
      </c>
      <c r="H29" s="1">
        <f t="shared" si="1"/>
        <v>4.29</v>
      </c>
      <c r="I29" s="1">
        <f t="shared" si="2"/>
        <v>0.01</v>
      </c>
      <c r="J29" s="1">
        <f>ROUND(G29/1087-1,2)</f>
        <v>1.1100000000000001</v>
      </c>
    </row>
    <row r="30" spans="1:10" x14ac:dyDescent="0.25">
      <c r="A30" s="1" t="s">
        <v>16</v>
      </c>
      <c r="B30" s="1" t="s">
        <v>40</v>
      </c>
      <c r="C30" s="5"/>
      <c r="D30" s="5"/>
      <c r="E30" s="5">
        <v>19389</v>
      </c>
      <c r="F30" s="5"/>
      <c r="G30" s="5">
        <f t="shared" si="0"/>
        <v>19389</v>
      </c>
      <c r="H30" s="1">
        <f t="shared" si="1"/>
        <v>36.24</v>
      </c>
      <c r="I30" s="1">
        <f t="shared" si="2"/>
        <v>8.2000000000000003E-2</v>
      </c>
      <c r="J30" s="1">
        <f>ROUND(G30/16514-1,2)</f>
        <v>0.17</v>
      </c>
    </row>
    <row r="31" spans="1:10" x14ac:dyDescent="0.25">
      <c r="A31" s="1" t="s">
        <v>16</v>
      </c>
      <c r="B31" s="1" t="s">
        <v>42</v>
      </c>
      <c r="C31" s="5"/>
      <c r="D31" s="5"/>
      <c r="E31" s="5">
        <v>5057</v>
      </c>
      <c r="F31" s="5"/>
      <c r="G31" s="5">
        <f t="shared" si="0"/>
        <v>5057</v>
      </c>
      <c r="H31" s="1">
        <f t="shared" si="1"/>
        <v>9.4499999999999993</v>
      </c>
      <c r="I31" s="1">
        <f t="shared" si="2"/>
        <v>2.1000000000000001E-2</v>
      </c>
      <c r="J31" s="1">
        <f>ROUND(G31/5576-1,2)</f>
        <v>-0.09</v>
      </c>
    </row>
    <row r="32" spans="1:10" x14ac:dyDescent="0.25">
      <c r="A32" s="1" t="s">
        <v>16</v>
      </c>
      <c r="B32" s="1" t="s">
        <v>44</v>
      </c>
      <c r="C32" s="5"/>
      <c r="D32" s="5"/>
      <c r="E32" s="5">
        <v>7965</v>
      </c>
      <c r="F32" s="5"/>
      <c r="G32" s="5">
        <f t="shared" si="0"/>
        <v>7965</v>
      </c>
      <c r="H32" s="1">
        <f t="shared" si="1"/>
        <v>14.89</v>
      </c>
      <c r="I32" s="1">
        <f t="shared" si="2"/>
        <v>3.4000000000000002E-2</v>
      </c>
      <c r="J32" s="1">
        <f>ROUND(G32/5547-1,2)</f>
        <v>0.44</v>
      </c>
    </row>
    <row r="33" spans="1:10" x14ac:dyDescent="0.25">
      <c r="A33" s="1" t="s">
        <v>16</v>
      </c>
      <c r="B33" s="1" t="s">
        <v>36</v>
      </c>
      <c r="C33" s="5"/>
      <c r="D33" s="5"/>
      <c r="E33" s="5"/>
      <c r="F33" s="5"/>
      <c r="G33" s="5">
        <f t="shared" si="0"/>
        <v>0</v>
      </c>
      <c r="H33" s="1">
        <f t="shared" si="1"/>
        <v>0</v>
      </c>
      <c r="I33" s="1">
        <f t="shared" si="2"/>
        <v>0</v>
      </c>
      <c r="J33" s="1">
        <f>ROUND(G33/246-1,2)</f>
        <v>-1</v>
      </c>
    </row>
    <row r="34" spans="1:10" x14ac:dyDescent="0.25">
      <c r="A34" s="1" t="s">
        <v>16</v>
      </c>
      <c r="B34" s="1" t="s">
        <v>32</v>
      </c>
      <c r="C34" s="5"/>
      <c r="D34" s="5"/>
      <c r="E34" s="5"/>
      <c r="F34" s="5"/>
      <c r="G34" s="5">
        <f t="shared" si="0"/>
        <v>0</v>
      </c>
      <c r="H34" s="1">
        <f t="shared" si="1"/>
        <v>0</v>
      </c>
      <c r="I34" s="1">
        <f t="shared" si="2"/>
        <v>0</v>
      </c>
      <c r="J34" s="1"/>
    </row>
    <row r="35" spans="1:10" x14ac:dyDescent="0.25">
      <c r="A35" s="1" t="s">
        <v>16</v>
      </c>
      <c r="B35" s="1" t="s">
        <v>41</v>
      </c>
      <c r="C35" s="5"/>
      <c r="D35" s="5"/>
      <c r="E35" s="5"/>
      <c r="F35" s="5"/>
      <c r="G35" s="5">
        <f t="shared" si="0"/>
        <v>0</v>
      </c>
      <c r="H35" s="1">
        <f t="shared" si="1"/>
        <v>0</v>
      </c>
      <c r="I35" s="1">
        <f t="shared" si="2"/>
        <v>0</v>
      </c>
      <c r="J35" s="1"/>
    </row>
    <row r="36" spans="1:10" x14ac:dyDescent="0.25">
      <c r="A36" s="1" t="s">
        <v>45</v>
      </c>
      <c r="B36" s="1" t="s">
        <v>46</v>
      </c>
      <c r="C36" s="5">
        <v>68330</v>
      </c>
      <c r="D36" s="5"/>
      <c r="E36" s="5"/>
      <c r="F36" s="5">
        <v>180</v>
      </c>
      <c r="G36" s="5">
        <f t="shared" si="0"/>
        <v>68510</v>
      </c>
      <c r="H36" s="1">
        <f t="shared" si="1"/>
        <v>128.06</v>
      </c>
      <c r="I36" s="1">
        <f t="shared" si="2"/>
        <v>0.28899999999999998</v>
      </c>
      <c r="J36" s="1">
        <f>ROUND(G36/65520-1,2)</f>
        <v>0.05</v>
      </c>
    </row>
    <row r="37" spans="1:10" x14ac:dyDescent="0.25">
      <c r="A37" s="1" t="s">
        <v>45</v>
      </c>
      <c r="B37" s="1" t="s">
        <v>47</v>
      </c>
      <c r="C37" s="5"/>
      <c r="D37" s="5"/>
      <c r="E37" s="5">
        <v>11902</v>
      </c>
      <c r="F37" s="5"/>
      <c r="G37" s="5">
        <f t="shared" si="0"/>
        <v>11902</v>
      </c>
      <c r="H37" s="1">
        <f t="shared" si="1"/>
        <v>22.25</v>
      </c>
      <c r="I37" s="1">
        <f t="shared" si="2"/>
        <v>0.05</v>
      </c>
      <c r="J37" s="1">
        <f>ROUND(G37/11729-1,2)</f>
        <v>0.01</v>
      </c>
    </row>
    <row r="38" spans="1:10" x14ac:dyDescent="0.25">
      <c r="A38" s="1" t="s">
        <v>45</v>
      </c>
      <c r="B38" s="1" t="s">
        <v>48</v>
      </c>
      <c r="C38" s="5"/>
      <c r="D38" s="5"/>
      <c r="E38" s="5"/>
      <c r="F38" s="5"/>
      <c r="G38" s="5">
        <f t="shared" si="0"/>
        <v>0</v>
      </c>
      <c r="H38" s="1">
        <f t="shared" si="1"/>
        <v>0</v>
      </c>
      <c r="I38" s="1">
        <f t="shared" si="2"/>
        <v>0</v>
      </c>
      <c r="J38" s="1"/>
    </row>
    <row r="39" spans="1:10" x14ac:dyDescent="0.25">
      <c r="A39" s="1" t="s">
        <v>49</v>
      </c>
      <c r="B39" s="1" t="s">
        <v>52</v>
      </c>
      <c r="C39" s="5"/>
      <c r="D39" s="5"/>
      <c r="E39" s="5"/>
      <c r="F39" s="5"/>
      <c r="G39" s="5">
        <f t="shared" si="0"/>
        <v>0</v>
      </c>
      <c r="H39" s="1">
        <f t="shared" si="1"/>
        <v>0</v>
      </c>
      <c r="I39" s="1">
        <f t="shared" si="2"/>
        <v>0</v>
      </c>
      <c r="J39" s="1"/>
    </row>
    <row r="40" spans="1:10" x14ac:dyDescent="0.25">
      <c r="A40" s="26" t="s">
        <v>12</v>
      </c>
      <c r="B40" s="26"/>
      <c r="C40" s="6">
        <f t="shared" ref="C40:H40" si="3">SUM(C8:C39)</f>
        <v>151500</v>
      </c>
      <c r="D40" s="6">
        <f t="shared" si="3"/>
        <v>0</v>
      </c>
      <c r="E40" s="6">
        <f t="shared" si="3"/>
        <v>85191</v>
      </c>
      <c r="F40" s="6">
        <f t="shared" si="3"/>
        <v>180</v>
      </c>
      <c r="G40" s="6">
        <f t="shared" si="3"/>
        <v>236871</v>
      </c>
      <c r="H40" s="3">
        <f t="shared" si="3"/>
        <v>442.76</v>
      </c>
      <c r="I40" s="2"/>
      <c r="J40" s="2"/>
    </row>
    <row r="41" spans="1:10" x14ac:dyDescent="0.25">
      <c r="A41" s="26" t="s">
        <v>14</v>
      </c>
      <c r="B41" s="26"/>
      <c r="C41" s="7">
        <f>ROUND(C40/G40,2)</f>
        <v>0.64</v>
      </c>
      <c r="D41" s="7">
        <f>ROUND(D40/G40,2)</f>
        <v>0</v>
      </c>
      <c r="E41" s="7">
        <f>ROUND(E40/G40,2)</f>
        <v>0.36</v>
      </c>
      <c r="F41" s="7">
        <f>ROUND(F40/G40,2)</f>
        <v>0</v>
      </c>
      <c r="G41" s="2"/>
      <c r="H41" s="2"/>
      <c r="I41" s="2"/>
      <c r="J41" s="2"/>
    </row>
    <row r="42" spans="1:10" x14ac:dyDescent="0.25">
      <c r="A42" s="2" t="s">
        <v>53</v>
      </c>
      <c r="B42" s="2"/>
      <c r="C42" s="2"/>
      <c r="D42" s="2"/>
      <c r="E42" s="2"/>
      <c r="F42" s="2"/>
      <c r="G42" s="2"/>
      <c r="H42" s="2"/>
      <c r="I42" s="2"/>
      <c r="J42" s="2"/>
    </row>
    <row r="46" spans="1:10" x14ac:dyDescent="0.25">
      <c r="A46" s="26" t="s">
        <v>54</v>
      </c>
      <c r="B46" s="26"/>
      <c r="C46" s="6" t="s">
        <v>8</v>
      </c>
      <c r="D46" s="6" t="s">
        <v>9</v>
      </c>
      <c r="E46" s="6" t="s">
        <v>10</v>
      </c>
      <c r="F46" s="6" t="s">
        <v>11</v>
      </c>
      <c r="G46" s="6" t="s">
        <v>12</v>
      </c>
      <c r="H46" s="3" t="s">
        <v>13</v>
      </c>
      <c r="I46" s="2"/>
      <c r="J46" s="2"/>
    </row>
    <row r="47" spans="1:10" x14ac:dyDescent="0.25">
      <c r="A47" s="21" t="s">
        <v>55</v>
      </c>
      <c r="B47" s="21"/>
      <c r="C47" s="5">
        <v>83170</v>
      </c>
      <c r="D47" s="5">
        <v>0</v>
      </c>
      <c r="E47" s="5">
        <v>73289</v>
      </c>
      <c r="F47" s="5">
        <v>0</v>
      </c>
      <c r="G47" s="5">
        <f>SUM(C47:F47)</f>
        <v>156459</v>
      </c>
      <c r="H47" s="1">
        <f>ROUND(G47/535,2)</f>
        <v>292.45</v>
      </c>
    </row>
    <row r="48" spans="1:10" x14ac:dyDescent="0.25">
      <c r="A48" s="21" t="s">
        <v>56</v>
      </c>
      <c r="B48" s="21"/>
      <c r="C48" s="5">
        <v>68330</v>
      </c>
      <c r="D48" s="5">
        <v>0</v>
      </c>
      <c r="E48" s="5">
        <v>11902</v>
      </c>
      <c r="F48" s="5">
        <v>180</v>
      </c>
      <c r="G48" s="5">
        <f>SUM(C48:F48)</f>
        <v>80412</v>
      </c>
      <c r="H48" s="1">
        <f>ROUND(G48/535,2)</f>
        <v>150.30000000000001</v>
      </c>
    </row>
    <row r="49" spans="1:10" x14ac:dyDescent="0.25">
      <c r="A49" s="21" t="s">
        <v>57</v>
      </c>
      <c r="B49" s="21"/>
      <c r="C49" s="5">
        <v>0</v>
      </c>
      <c r="D49" s="5">
        <v>0</v>
      </c>
      <c r="E49" s="5">
        <v>0</v>
      </c>
      <c r="F49" s="5">
        <v>0</v>
      </c>
      <c r="G49" s="5">
        <f>SUM(C49:F49)</f>
        <v>0</v>
      </c>
      <c r="H49" s="1">
        <f>ROUND(G49/535,2)</f>
        <v>0</v>
      </c>
    </row>
    <row r="54" spans="1:10" x14ac:dyDescent="0.25">
      <c r="A54" s="26" t="s">
        <v>58</v>
      </c>
      <c r="B54" s="26"/>
      <c r="C54" s="3" t="s">
        <v>2</v>
      </c>
      <c r="D54" s="3">
        <v>2024</v>
      </c>
      <c r="E54" s="3" t="s">
        <v>60</v>
      </c>
      <c r="F54" s="2"/>
      <c r="G54" s="3" t="s">
        <v>61</v>
      </c>
      <c r="H54" s="3" t="s">
        <v>2</v>
      </c>
      <c r="I54" s="3" t="s">
        <v>62</v>
      </c>
      <c r="J54" s="3" t="s">
        <v>60</v>
      </c>
    </row>
    <row r="55" spans="1:10" x14ac:dyDescent="0.25">
      <c r="A55" s="21" t="s">
        <v>59</v>
      </c>
      <c r="B55" s="21"/>
      <c r="C55" s="8">
        <f>ROUND(0.6789, 4)</f>
        <v>0.67889999999999995</v>
      </c>
      <c r="D55" s="8">
        <f>ROUND(0.6866, 4)</f>
        <v>0.68659999999999999</v>
      </c>
      <c r="E55" s="8">
        <f>ROUND(0.7856, 4)</f>
        <v>0.78559999999999997</v>
      </c>
      <c r="G55" s="3" t="s">
        <v>63</v>
      </c>
      <c r="H55" s="29" t="s">
        <v>64</v>
      </c>
      <c r="I55" s="29" t="s">
        <v>65</v>
      </c>
      <c r="J55" s="29" t="s">
        <v>66</v>
      </c>
    </row>
    <row r="56" spans="1:10" x14ac:dyDescent="0.25">
      <c r="A56" s="21" t="s">
        <v>67</v>
      </c>
      <c r="B56" s="21"/>
      <c r="C56" s="8">
        <f>ROUND(0.6789, 4)</f>
        <v>0.67889999999999995</v>
      </c>
      <c r="D56" s="8">
        <f>ROUND(0.6409, 4)</f>
        <v>0.64090000000000003</v>
      </c>
      <c r="E56" s="8">
        <f>ROUND(0.7702, 4)</f>
        <v>0.7702</v>
      </c>
      <c r="G56" s="3" t="s">
        <v>68</v>
      </c>
      <c r="H56" s="21"/>
      <c r="I56" s="21"/>
      <c r="J56" s="21"/>
    </row>
    <row r="60" spans="1:10" x14ac:dyDescent="0.25">
      <c r="A60" s="26" t="s">
        <v>69</v>
      </c>
      <c r="B60" s="26"/>
      <c r="C60" s="3" t="s">
        <v>2</v>
      </c>
      <c r="D60" s="3" t="s">
        <v>356</v>
      </c>
      <c r="E60" s="3" t="s">
        <v>71</v>
      </c>
      <c r="F60" s="3" t="s">
        <v>72</v>
      </c>
      <c r="G60" s="3" t="s">
        <v>73</v>
      </c>
      <c r="H60" s="2"/>
      <c r="I60" s="2"/>
      <c r="J60" s="2"/>
    </row>
    <row r="61" spans="1:10" x14ac:dyDescent="0.25">
      <c r="A61" s="21" t="s">
        <v>74</v>
      </c>
      <c r="B61" s="21"/>
      <c r="C61" s="1">
        <v>128.06</v>
      </c>
      <c r="D61" s="1">
        <v>101.76</v>
      </c>
      <c r="E61" s="1">
        <v>96.15</v>
      </c>
      <c r="F61" s="1">
        <v>57.94</v>
      </c>
      <c r="G61" s="1">
        <f>12/12*C61</f>
        <v>128.06</v>
      </c>
    </row>
    <row r="62" spans="1:10" x14ac:dyDescent="0.25">
      <c r="A62" s="21" t="s">
        <v>75</v>
      </c>
      <c r="B62" s="21"/>
      <c r="C62" s="1">
        <v>36.21</v>
      </c>
      <c r="D62" s="1">
        <v>45.32</v>
      </c>
      <c r="E62" s="1">
        <v>62.28</v>
      </c>
      <c r="F62" s="1">
        <v>66.599999999999994</v>
      </c>
      <c r="G62" s="1">
        <f>12/12*C62</f>
        <v>36.21</v>
      </c>
    </row>
    <row r="63" spans="1:10" x14ac:dyDescent="0.25">
      <c r="A63" s="21" t="s">
        <v>76</v>
      </c>
      <c r="B63" s="21"/>
      <c r="C63" s="1">
        <v>292.45</v>
      </c>
      <c r="D63" s="1">
        <v>270.58</v>
      </c>
      <c r="E63" s="1">
        <v>300.02</v>
      </c>
      <c r="F63" s="1">
        <v>295.08</v>
      </c>
      <c r="G63" s="1">
        <f>12/12*C63</f>
        <v>292.45</v>
      </c>
    </row>
    <row r="64" spans="1:10" x14ac:dyDescent="0.25">
      <c r="A64" s="21" t="s">
        <v>77</v>
      </c>
      <c r="B64" s="21"/>
      <c r="C64" s="1">
        <v>150.30000000000001</v>
      </c>
      <c r="D64" s="1">
        <v>122.71</v>
      </c>
      <c r="E64" s="1">
        <v>120.96</v>
      </c>
      <c r="F64" s="1">
        <v>83.12</v>
      </c>
      <c r="G64" s="1">
        <f>12/12*C64</f>
        <v>150.30000000000001</v>
      </c>
    </row>
    <row r="67" spans="1:2" x14ac:dyDescent="0.25">
      <c r="A67" s="22" t="s">
        <v>61</v>
      </c>
      <c r="B67" s="23"/>
    </row>
    <row r="68" spans="1:2" x14ac:dyDescent="0.25">
      <c r="A68" s="3" t="s">
        <v>78</v>
      </c>
      <c r="B68" s="1" t="s">
        <v>357</v>
      </c>
    </row>
    <row r="69" spans="1:2" x14ac:dyDescent="0.25">
      <c r="A69" s="3" t="s">
        <v>71</v>
      </c>
      <c r="B69" s="1" t="s">
        <v>80</v>
      </c>
    </row>
    <row r="70" spans="1:2" x14ac:dyDescent="0.25">
      <c r="A70" s="3" t="s">
        <v>72</v>
      </c>
      <c r="B70" s="1" t="s">
        <v>81</v>
      </c>
    </row>
    <row r="71" spans="1:2" x14ac:dyDescent="0.25">
      <c r="A71" s="3" t="s">
        <v>73</v>
      </c>
      <c r="B71" s="1" t="s">
        <v>82</v>
      </c>
    </row>
  </sheetData>
  <mergeCells count="19">
    <mergeCell ref="C7:G7"/>
    <mergeCell ref="A40:B40"/>
    <mergeCell ref="A41:B41"/>
    <mergeCell ref="A46:B46"/>
    <mergeCell ref="A47:B47"/>
    <mergeCell ref="J55:J56"/>
    <mergeCell ref="A56:B56"/>
    <mergeCell ref="A60:B60"/>
    <mergeCell ref="A61:B61"/>
    <mergeCell ref="A48:B48"/>
    <mergeCell ref="A49:B49"/>
    <mergeCell ref="A54:B54"/>
    <mergeCell ref="A55:B55"/>
    <mergeCell ref="H55:H56"/>
    <mergeCell ref="A62:B62"/>
    <mergeCell ref="A63:B63"/>
    <mergeCell ref="A64:B64"/>
    <mergeCell ref="A67:B67"/>
    <mergeCell ref="I55:I56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J78"/>
  <sheetViews>
    <sheetView workbookViewId="0">
      <selection activeCell="H5" sqref="H5"/>
    </sheetView>
  </sheetViews>
  <sheetFormatPr defaultRowHeight="15" x14ac:dyDescent="0.25"/>
  <cols>
    <col min="1" max="1" width="28.42578125" bestFit="1" customWidth="1"/>
    <col min="2" max="2" width="61.28515625" bestFit="1" customWidth="1"/>
    <col min="3" max="3" width="12.7109375" bestFit="1" customWidth="1"/>
    <col min="4" max="4" width="38.85546875" bestFit="1" customWidth="1"/>
    <col min="5" max="5" width="13.85546875" bestFit="1" customWidth="1"/>
    <col min="6" max="6" width="8.5703125" bestFit="1" customWidth="1"/>
    <col min="7" max="7" width="47.7109375" bestFit="1" customWidth="1"/>
    <col min="8" max="9" width="16.7109375" bestFit="1" customWidth="1"/>
    <col min="10" max="10" width="24.42578125" bestFit="1" customWidth="1"/>
  </cols>
  <sheetData>
    <row r="2" spans="1:10" ht="18.75" x14ac:dyDescent="0.3">
      <c r="A2" s="3" t="s">
        <v>0</v>
      </c>
      <c r="B2" s="4" t="s">
        <v>112</v>
      </c>
    </row>
    <row r="3" spans="1:10" x14ac:dyDescent="0.25">
      <c r="A3" s="3" t="s">
        <v>2</v>
      </c>
      <c r="B3" s="1" t="s">
        <v>3</v>
      </c>
    </row>
    <row r="4" spans="1:10" x14ac:dyDescent="0.25">
      <c r="A4" s="3" t="s">
        <v>4</v>
      </c>
      <c r="B4" s="20">
        <v>1533</v>
      </c>
    </row>
    <row r="7" spans="1:10" x14ac:dyDescent="0.25">
      <c r="C7" s="22" t="s">
        <v>5</v>
      </c>
      <c r="D7" s="21"/>
      <c r="E7" s="21"/>
      <c r="F7" s="21"/>
      <c r="G7" s="21"/>
    </row>
    <row r="8" spans="1:10" x14ac:dyDescent="0.25">
      <c r="A8" s="3" t="s">
        <v>6</v>
      </c>
      <c r="B8" s="3" t="s">
        <v>7</v>
      </c>
      <c r="C8" s="15" t="s">
        <v>8</v>
      </c>
      <c r="D8" s="15" t="s">
        <v>9</v>
      </c>
      <c r="E8" s="15" t="s">
        <v>10</v>
      </c>
      <c r="F8" s="15" t="s">
        <v>11</v>
      </c>
      <c r="G8" s="15" t="s">
        <v>12</v>
      </c>
      <c r="H8" s="15" t="s">
        <v>13</v>
      </c>
      <c r="I8" s="15" t="s">
        <v>14</v>
      </c>
      <c r="J8" s="15" t="s">
        <v>15</v>
      </c>
    </row>
    <row r="9" spans="1:10" x14ac:dyDescent="0.25">
      <c r="A9" s="1" t="s">
        <v>16</v>
      </c>
      <c r="B9" s="1" t="s">
        <v>17</v>
      </c>
      <c r="C9" s="11"/>
      <c r="D9" s="11"/>
      <c r="E9" s="11">
        <v>20</v>
      </c>
      <c r="F9" s="11"/>
      <c r="G9" s="11">
        <f t="shared" ref="G9:G35" si="0">SUM(C9:F9)</f>
        <v>20</v>
      </c>
      <c r="H9" s="17">
        <f t="shared" ref="H9:H35" si="1">ROUND(G9/1533,2)</f>
        <v>0.01</v>
      </c>
      <c r="I9" s="16">
        <f t="shared" ref="I9:I35" si="2">ROUND(G9/$G$36,3)</f>
        <v>0</v>
      </c>
      <c r="J9" s="16">
        <f>ROUND(G9/16-1,2)</f>
        <v>0.25</v>
      </c>
    </row>
    <row r="10" spans="1:10" x14ac:dyDescent="0.25">
      <c r="A10" s="1" t="s">
        <v>16</v>
      </c>
      <c r="B10" s="1" t="s">
        <v>19</v>
      </c>
      <c r="C10" s="11">
        <v>53430</v>
      </c>
      <c r="D10" s="11"/>
      <c r="E10" s="11"/>
      <c r="F10" s="11"/>
      <c r="G10" s="11">
        <f t="shared" si="0"/>
        <v>53430</v>
      </c>
      <c r="H10" s="17">
        <f t="shared" si="1"/>
        <v>34.85</v>
      </c>
      <c r="I10" s="16">
        <f t="shared" si="2"/>
        <v>8.5000000000000006E-2</v>
      </c>
      <c r="J10" s="16">
        <f>ROUND(G10/49880-1,2)</f>
        <v>7.0000000000000007E-2</v>
      </c>
    </row>
    <row r="11" spans="1:10" x14ac:dyDescent="0.25">
      <c r="A11" s="1" t="s">
        <v>16</v>
      </c>
      <c r="B11" s="1" t="s">
        <v>20</v>
      </c>
      <c r="C11" s="11">
        <v>61930</v>
      </c>
      <c r="D11" s="11"/>
      <c r="E11" s="11"/>
      <c r="F11" s="11"/>
      <c r="G11" s="11">
        <f t="shared" si="0"/>
        <v>61930</v>
      </c>
      <c r="H11" s="17">
        <f t="shared" si="1"/>
        <v>40.4</v>
      </c>
      <c r="I11" s="16">
        <f t="shared" si="2"/>
        <v>9.9000000000000005E-2</v>
      </c>
      <c r="J11" s="16">
        <f>ROUND(G11/66040-1,2)</f>
        <v>-0.06</v>
      </c>
    </row>
    <row r="12" spans="1:10" x14ac:dyDescent="0.25">
      <c r="A12" s="1" t="s">
        <v>16</v>
      </c>
      <c r="B12" s="1" t="s">
        <v>24</v>
      </c>
      <c r="C12" s="11">
        <v>66650</v>
      </c>
      <c r="D12" s="11"/>
      <c r="E12" s="11"/>
      <c r="F12" s="11"/>
      <c r="G12" s="11">
        <f t="shared" si="0"/>
        <v>66650</v>
      </c>
      <c r="H12" s="17">
        <f t="shared" si="1"/>
        <v>43.48</v>
      </c>
      <c r="I12" s="16">
        <f t="shared" si="2"/>
        <v>0.106</v>
      </c>
      <c r="J12" s="16">
        <f>ROUND(G12/68800-1,2)</f>
        <v>-0.03</v>
      </c>
    </row>
    <row r="13" spans="1:10" x14ac:dyDescent="0.25">
      <c r="A13" s="1" t="s">
        <v>16</v>
      </c>
      <c r="B13" s="1" t="s">
        <v>25</v>
      </c>
      <c r="C13" s="11"/>
      <c r="D13" s="11"/>
      <c r="E13" s="11">
        <v>1040</v>
      </c>
      <c r="F13" s="11"/>
      <c r="G13" s="11">
        <f t="shared" si="0"/>
        <v>1040</v>
      </c>
      <c r="H13" s="17">
        <f t="shared" si="1"/>
        <v>0.68</v>
      </c>
      <c r="I13" s="16">
        <f t="shared" si="2"/>
        <v>2E-3</v>
      </c>
      <c r="J13" s="16">
        <f>ROUND(G13/900-1,2)</f>
        <v>0.16</v>
      </c>
    </row>
    <row r="14" spans="1:10" x14ac:dyDescent="0.25">
      <c r="A14" s="1" t="s">
        <v>16</v>
      </c>
      <c r="B14" s="1" t="s">
        <v>26</v>
      </c>
      <c r="C14" s="11">
        <v>135710</v>
      </c>
      <c r="D14" s="11"/>
      <c r="E14" s="11"/>
      <c r="F14" s="11">
        <v>500</v>
      </c>
      <c r="G14" s="11">
        <f t="shared" si="0"/>
        <v>136210</v>
      </c>
      <c r="H14" s="17">
        <f t="shared" si="1"/>
        <v>88.85</v>
      </c>
      <c r="I14" s="16">
        <f t="shared" si="2"/>
        <v>0.217</v>
      </c>
      <c r="J14" s="16">
        <f>ROUND(G14/140130-1,2)</f>
        <v>-0.03</v>
      </c>
    </row>
    <row r="15" spans="1:10" x14ac:dyDescent="0.25">
      <c r="A15" s="1" t="s">
        <v>16</v>
      </c>
      <c r="B15" s="1" t="s">
        <v>27</v>
      </c>
      <c r="C15" s="11"/>
      <c r="D15" s="11"/>
      <c r="E15" s="11">
        <v>789</v>
      </c>
      <c r="F15" s="11"/>
      <c r="G15" s="11">
        <f t="shared" si="0"/>
        <v>789</v>
      </c>
      <c r="H15" s="17">
        <f t="shared" si="1"/>
        <v>0.51</v>
      </c>
      <c r="I15" s="16">
        <f t="shared" si="2"/>
        <v>1E-3</v>
      </c>
      <c r="J15" s="16">
        <f>ROUND(G15/614-1,2)</f>
        <v>0.28999999999999998</v>
      </c>
    </row>
    <row r="16" spans="1:10" x14ac:dyDescent="0.25">
      <c r="A16" s="1" t="s">
        <v>16</v>
      </c>
      <c r="B16" s="1" t="s">
        <v>28</v>
      </c>
      <c r="C16" s="11"/>
      <c r="D16" s="11"/>
      <c r="E16" s="11">
        <v>784</v>
      </c>
      <c r="F16" s="11"/>
      <c r="G16" s="11">
        <f t="shared" si="0"/>
        <v>784</v>
      </c>
      <c r="H16" s="17">
        <f t="shared" si="1"/>
        <v>0.51</v>
      </c>
      <c r="I16" s="16">
        <f t="shared" si="2"/>
        <v>1E-3</v>
      </c>
      <c r="J16" s="16">
        <f>ROUND(G16/361-1,2)</f>
        <v>1.17</v>
      </c>
    </row>
    <row r="17" spans="1:10" x14ac:dyDescent="0.25">
      <c r="A17" s="1" t="s">
        <v>16</v>
      </c>
      <c r="B17" s="1" t="s">
        <v>30</v>
      </c>
      <c r="C17" s="11"/>
      <c r="D17" s="11"/>
      <c r="E17" s="11">
        <v>2580</v>
      </c>
      <c r="F17" s="11"/>
      <c r="G17" s="11">
        <f t="shared" si="0"/>
        <v>2580</v>
      </c>
      <c r="H17" s="17">
        <f t="shared" si="1"/>
        <v>1.68</v>
      </c>
      <c r="I17" s="16">
        <f t="shared" si="2"/>
        <v>4.0000000000000001E-3</v>
      </c>
      <c r="J17" s="16">
        <f>ROUND(G17/3470-1,2)</f>
        <v>-0.26</v>
      </c>
    </row>
    <row r="18" spans="1:10" x14ac:dyDescent="0.25">
      <c r="A18" s="1" t="s">
        <v>16</v>
      </c>
      <c r="B18" s="1" t="s">
        <v>31</v>
      </c>
      <c r="C18" s="11"/>
      <c r="D18" s="11"/>
      <c r="E18" s="11">
        <v>530</v>
      </c>
      <c r="F18" s="11"/>
      <c r="G18" s="11">
        <f t="shared" si="0"/>
        <v>530</v>
      </c>
      <c r="H18" s="17">
        <f t="shared" si="1"/>
        <v>0.35</v>
      </c>
      <c r="I18" s="16">
        <f t="shared" si="2"/>
        <v>1E-3</v>
      </c>
      <c r="J18" s="16">
        <f>ROUND(G18/520-1,2)</f>
        <v>0.02</v>
      </c>
    </row>
    <row r="19" spans="1:10" x14ac:dyDescent="0.25">
      <c r="A19" s="1" t="s">
        <v>16</v>
      </c>
      <c r="B19" s="1" t="s">
        <v>34</v>
      </c>
      <c r="C19" s="11"/>
      <c r="D19" s="11">
        <v>149</v>
      </c>
      <c r="E19" s="11">
        <v>141</v>
      </c>
      <c r="F19" s="11"/>
      <c r="G19" s="11">
        <f t="shared" si="0"/>
        <v>290</v>
      </c>
      <c r="H19" s="17">
        <f t="shared" si="1"/>
        <v>0.19</v>
      </c>
      <c r="I19" s="16">
        <f t="shared" si="2"/>
        <v>0</v>
      </c>
      <c r="J19" s="16">
        <f>ROUND(G19/265-1,2)</f>
        <v>0.09</v>
      </c>
    </row>
    <row r="20" spans="1:10" x14ac:dyDescent="0.25">
      <c r="A20" s="1" t="s">
        <v>16</v>
      </c>
      <c r="B20" s="1" t="s">
        <v>35</v>
      </c>
      <c r="C20" s="11"/>
      <c r="D20" s="11"/>
      <c r="E20" s="11">
        <v>1480</v>
      </c>
      <c r="F20" s="11"/>
      <c r="G20" s="11">
        <f t="shared" si="0"/>
        <v>1480</v>
      </c>
      <c r="H20" s="17">
        <f t="shared" si="1"/>
        <v>0.97</v>
      </c>
      <c r="I20" s="16">
        <f t="shared" si="2"/>
        <v>2E-3</v>
      </c>
      <c r="J20" s="16">
        <f>ROUND(G20/270-1,2)</f>
        <v>4.4800000000000004</v>
      </c>
    </row>
    <row r="21" spans="1:10" x14ac:dyDescent="0.25">
      <c r="A21" s="1" t="s">
        <v>16</v>
      </c>
      <c r="B21" s="1" t="s">
        <v>36</v>
      </c>
      <c r="C21" s="11"/>
      <c r="D21" s="11"/>
      <c r="E21" s="11">
        <v>1011</v>
      </c>
      <c r="F21" s="11"/>
      <c r="G21" s="11">
        <f t="shared" si="0"/>
        <v>1011</v>
      </c>
      <c r="H21" s="17">
        <f t="shared" si="1"/>
        <v>0.66</v>
      </c>
      <c r="I21" s="16">
        <f t="shared" si="2"/>
        <v>2E-3</v>
      </c>
      <c r="J21" s="16">
        <f>ROUND(G21/270-1,2)</f>
        <v>2.74</v>
      </c>
    </row>
    <row r="22" spans="1:10" x14ac:dyDescent="0.25">
      <c r="A22" s="1" t="s">
        <v>16</v>
      </c>
      <c r="B22" s="1" t="s">
        <v>37</v>
      </c>
      <c r="C22" s="11"/>
      <c r="D22" s="11"/>
      <c r="E22" s="11">
        <v>610</v>
      </c>
      <c r="F22" s="11"/>
      <c r="G22" s="11">
        <f t="shared" si="0"/>
        <v>610</v>
      </c>
      <c r="H22" s="17">
        <f t="shared" si="1"/>
        <v>0.4</v>
      </c>
      <c r="I22" s="16">
        <f t="shared" si="2"/>
        <v>1E-3</v>
      </c>
      <c r="J22" s="16">
        <f>ROUND(G22/1220-1,2)</f>
        <v>-0.5</v>
      </c>
    </row>
    <row r="23" spans="1:10" x14ac:dyDescent="0.25">
      <c r="A23" s="1" t="s">
        <v>16</v>
      </c>
      <c r="B23" s="1" t="s">
        <v>39</v>
      </c>
      <c r="C23" s="11"/>
      <c r="D23" s="11"/>
      <c r="E23" s="11">
        <v>5510</v>
      </c>
      <c r="F23" s="11"/>
      <c r="G23" s="11">
        <f t="shared" si="0"/>
        <v>5510</v>
      </c>
      <c r="H23" s="17">
        <f t="shared" si="1"/>
        <v>3.59</v>
      </c>
      <c r="I23" s="16">
        <f t="shared" si="2"/>
        <v>8.9999999999999993E-3</v>
      </c>
      <c r="J23" s="16">
        <f>ROUND(G23/2750-1,2)</f>
        <v>1</v>
      </c>
    </row>
    <row r="24" spans="1:10" x14ac:dyDescent="0.25">
      <c r="A24" s="1" t="s">
        <v>16</v>
      </c>
      <c r="B24" s="1" t="s">
        <v>38</v>
      </c>
      <c r="C24" s="11"/>
      <c r="D24" s="11"/>
      <c r="E24" s="11">
        <v>500</v>
      </c>
      <c r="F24" s="11"/>
      <c r="G24" s="11">
        <f t="shared" si="0"/>
        <v>500</v>
      </c>
      <c r="H24" s="17">
        <f t="shared" si="1"/>
        <v>0.33</v>
      </c>
      <c r="I24" s="16">
        <f t="shared" si="2"/>
        <v>1E-3</v>
      </c>
      <c r="J24" s="16">
        <f>ROUND(G24/1260-1,2)</f>
        <v>-0.6</v>
      </c>
    </row>
    <row r="25" spans="1:10" x14ac:dyDescent="0.25">
      <c r="A25" s="1" t="s">
        <v>16</v>
      </c>
      <c r="B25" s="1" t="s">
        <v>40</v>
      </c>
      <c r="C25" s="11"/>
      <c r="D25" s="11"/>
      <c r="E25" s="11">
        <v>36390</v>
      </c>
      <c r="F25" s="11"/>
      <c r="G25" s="11">
        <f t="shared" si="0"/>
        <v>36390</v>
      </c>
      <c r="H25" s="17">
        <f t="shared" si="1"/>
        <v>23.74</v>
      </c>
      <c r="I25" s="16">
        <f t="shared" si="2"/>
        <v>5.8000000000000003E-2</v>
      </c>
      <c r="J25" s="16">
        <f>ROUND(G25/38010-1,2)</f>
        <v>-0.04</v>
      </c>
    </row>
    <row r="26" spans="1:10" x14ac:dyDescent="0.25">
      <c r="A26" s="1" t="s">
        <v>16</v>
      </c>
      <c r="B26" s="1" t="s">
        <v>41</v>
      </c>
      <c r="C26" s="11"/>
      <c r="D26" s="11"/>
      <c r="E26" s="11">
        <v>1940</v>
      </c>
      <c r="F26" s="11"/>
      <c r="G26" s="11">
        <f t="shared" si="0"/>
        <v>1940</v>
      </c>
      <c r="H26" s="17">
        <f t="shared" si="1"/>
        <v>1.27</v>
      </c>
      <c r="I26" s="16">
        <f t="shared" si="2"/>
        <v>3.0000000000000001E-3</v>
      </c>
      <c r="J26" s="16">
        <f>ROUND(G26/2455-1,2)</f>
        <v>-0.21</v>
      </c>
    </row>
    <row r="27" spans="1:10" x14ac:dyDescent="0.25">
      <c r="A27" s="1" t="s">
        <v>16</v>
      </c>
      <c r="B27" s="1" t="s">
        <v>42</v>
      </c>
      <c r="C27" s="11"/>
      <c r="D27" s="11"/>
      <c r="E27" s="11">
        <v>8540</v>
      </c>
      <c r="F27" s="11"/>
      <c r="G27" s="11">
        <f t="shared" si="0"/>
        <v>8540</v>
      </c>
      <c r="H27" s="17">
        <f t="shared" si="1"/>
        <v>5.57</v>
      </c>
      <c r="I27" s="16">
        <f t="shared" si="2"/>
        <v>1.4E-2</v>
      </c>
      <c r="J27" s="16">
        <f>ROUND(G27/8800-1,2)</f>
        <v>-0.03</v>
      </c>
    </row>
    <row r="28" spans="1:10" x14ac:dyDescent="0.25">
      <c r="A28" s="1" t="s">
        <v>16</v>
      </c>
      <c r="B28" s="1" t="s">
        <v>44</v>
      </c>
      <c r="C28" s="11"/>
      <c r="D28" s="11"/>
      <c r="E28" s="11">
        <v>45640</v>
      </c>
      <c r="F28" s="11"/>
      <c r="G28" s="11">
        <f t="shared" si="0"/>
        <v>45640</v>
      </c>
      <c r="H28" s="17">
        <f t="shared" si="1"/>
        <v>29.77</v>
      </c>
      <c r="I28" s="16">
        <f t="shared" si="2"/>
        <v>7.2999999999999995E-2</v>
      </c>
      <c r="J28" s="16">
        <f>ROUND(G28/57450-1,2)</f>
        <v>-0.21</v>
      </c>
    </row>
    <row r="29" spans="1:10" x14ac:dyDescent="0.25">
      <c r="A29" s="1" t="s">
        <v>16</v>
      </c>
      <c r="B29" s="1" t="s">
        <v>29</v>
      </c>
      <c r="C29" s="11"/>
      <c r="D29" s="11"/>
      <c r="E29" s="11"/>
      <c r="F29" s="11"/>
      <c r="G29" s="11">
        <f t="shared" si="0"/>
        <v>0</v>
      </c>
      <c r="H29" s="17">
        <f t="shared" si="1"/>
        <v>0</v>
      </c>
      <c r="I29" s="16">
        <f t="shared" si="2"/>
        <v>0</v>
      </c>
      <c r="J29" s="16">
        <f>ROUND(G29/81-1,2)</f>
        <v>-1</v>
      </c>
    </row>
    <row r="30" spans="1:10" x14ac:dyDescent="0.25">
      <c r="A30" s="1" t="s">
        <v>16</v>
      </c>
      <c r="B30" s="1" t="s">
        <v>87</v>
      </c>
      <c r="C30" s="11"/>
      <c r="D30" s="11"/>
      <c r="E30" s="11"/>
      <c r="F30" s="11"/>
      <c r="G30" s="11">
        <f t="shared" si="0"/>
        <v>0</v>
      </c>
      <c r="H30" s="17">
        <f t="shared" si="1"/>
        <v>0</v>
      </c>
      <c r="I30" s="16">
        <f t="shared" si="2"/>
        <v>0</v>
      </c>
      <c r="J30" s="16"/>
    </row>
    <row r="31" spans="1:10" x14ac:dyDescent="0.25">
      <c r="A31" s="1" t="s">
        <v>16</v>
      </c>
      <c r="B31" s="1" t="s">
        <v>22</v>
      </c>
      <c r="C31" s="11"/>
      <c r="D31" s="11"/>
      <c r="E31" s="11"/>
      <c r="F31" s="11"/>
      <c r="G31" s="11">
        <f t="shared" si="0"/>
        <v>0</v>
      </c>
      <c r="H31" s="17">
        <f t="shared" si="1"/>
        <v>0</v>
      </c>
      <c r="I31" s="16">
        <f t="shared" si="2"/>
        <v>0</v>
      </c>
      <c r="J31" s="16">
        <f>ROUND(G31/320-1,2)</f>
        <v>-1</v>
      </c>
    </row>
    <row r="32" spans="1:10" x14ac:dyDescent="0.25">
      <c r="A32" s="1" t="s">
        <v>16</v>
      </c>
      <c r="B32" s="1" t="s">
        <v>23</v>
      </c>
      <c r="C32" s="11"/>
      <c r="D32" s="11"/>
      <c r="E32" s="11"/>
      <c r="F32" s="11"/>
      <c r="G32" s="11">
        <f t="shared" si="0"/>
        <v>0</v>
      </c>
      <c r="H32" s="17">
        <f t="shared" si="1"/>
        <v>0</v>
      </c>
      <c r="I32" s="16">
        <f t="shared" si="2"/>
        <v>0</v>
      </c>
      <c r="J32" s="16"/>
    </row>
    <row r="33" spans="1:10" x14ac:dyDescent="0.25">
      <c r="A33" s="1" t="s">
        <v>45</v>
      </c>
      <c r="B33" s="1" t="s">
        <v>46</v>
      </c>
      <c r="C33" s="11">
        <v>152490</v>
      </c>
      <c r="D33" s="11"/>
      <c r="E33" s="11"/>
      <c r="F33" s="11"/>
      <c r="G33" s="11">
        <f t="shared" si="0"/>
        <v>152490</v>
      </c>
      <c r="H33" s="17">
        <f t="shared" si="1"/>
        <v>99.47</v>
      </c>
      <c r="I33" s="16">
        <f t="shared" si="2"/>
        <v>0.24299999999999999</v>
      </c>
      <c r="J33" s="16">
        <f>ROUND(G33/151530-1,2)</f>
        <v>0.01</v>
      </c>
    </row>
    <row r="34" spans="1:10" x14ac:dyDescent="0.25">
      <c r="A34" s="1" t="s">
        <v>45</v>
      </c>
      <c r="B34" s="1" t="s">
        <v>48</v>
      </c>
      <c r="C34" s="11"/>
      <c r="D34" s="11"/>
      <c r="E34" s="11"/>
      <c r="F34" s="11">
        <v>16840</v>
      </c>
      <c r="G34" s="11">
        <f t="shared" si="0"/>
        <v>16840</v>
      </c>
      <c r="H34" s="17">
        <f t="shared" si="1"/>
        <v>10.98</v>
      </c>
      <c r="I34" s="16">
        <f t="shared" si="2"/>
        <v>2.7E-2</v>
      </c>
      <c r="J34" s="16">
        <f>ROUND(G34/18080-1,2)</f>
        <v>-7.0000000000000007E-2</v>
      </c>
    </row>
    <row r="35" spans="1:10" x14ac:dyDescent="0.25">
      <c r="A35" s="1" t="s">
        <v>45</v>
      </c>
      <c r="B35" s="1" t="s">
        <v>47</v>
      </c>
      <c r="C35" s="11"/>
      <c r="D35" s="11"/>
      <c r="E35" s="11">
        <v>31580</v>
      </c>
      <c r="F35" s="11"/>
      <c r="G35" s="11">
        <f t="shared" si="0"/>
        <v>31580</v>
      </c>
      <c r="H35" s="17">
        <f t="shared" si="1"/>
        <v>20.6</v>
      </c>
      <c r="I35" s="16">
        <f t="shared" si="2"/>
        <v>0.05</v>
      </c>
      <c r="J35" s="16">
        <f>ROUND(G35/32690-1,2)</f>
        <v>-0.03</v>
      </c>
    </row>
    <row r="36" spans="1:10" x14ac:dyDescent="0.25">
      <c r="A36" s="26" t="s">
        <v>12</v>
      </c>
      <c r="B36" s="26"/>
      <c r="C36" s="12">
        <f t="shared" ref="C36:H36" si="3">SUM(C8:C35)</f>
        <v>470210</v>
      </c>
      <c r="D36" s="12">
        <f t="shared" si="3"/>
        <v>149</v>
      </c>
      <c r="E36" s="12">
        <f t="shared" si="3"/>
        <v>139085</v>
      </c>
      <c r="F36" s="12">
        <f t="shared" si="3"/>
        <v>17340</v>
      </c>
      <c r="G36" s="12">
        <f t="shared" si="3"/>
        <v>626784</v>
      </c>
      <c r="H36" s="15">
        <f t="shared" si="3"/>
        <v>408.86</v>
      </c>
      <c r="I36" s="18"/>
      <c r="J36" s="18"/>
    </row>
    <row r="37" spans="1:10" x14ac:dyDescent="0.25">
      <c r="A37" s="26" t="s">
        <v>14</v>
      </c>
      <c r="B37" s="26"/>
      <c r="C37" s="13">
        <f>ROUND(C36/G36,2)</f>
        <v>0.75</v>
      </c>
      <c r="D37" s="13">
        <f>ROUND(D36/G36,2)</f>
        <v>0</v>
      </c>
      <c r="E37" s="13">
        <f>ROUND(E36/G36,2)</f>
        <v>0.22</v>
      </c>
      <c r="F37" s="13">
        <f>ROUND(F36/G36,2)</f>
        <v>0.03</v>
      </c>
      <c r="G37" s="14"/>
      <c r="H37" s="14"/>
      <c r="I37" s="18"/>
      <c r="J37" s="18"/>
    </row>
    <row r="38" spans="1:10" x14ac:dyDescent="0.25">
      <c r="A38" s="2" t="s">
        <v>53</v>
      </c>
      <c r="B38" s="2"/>
      <c r="C38" s="14"/>
      <c r="D38" s="14"/>
      <c r="E38" s="14"/>
      <c r="F38" s="14"/>
      <c r="G38" s="14"/>
      <c r="H38" s="14"/>
      <c r="I38" s="18"/>
      <c r="J38" s="18"/>
    </row>
    <row r="39" spans="1:10" x14ac:dyDescent="0.25">
      <c r="C39" s="9"/>
      <c r="D39" s="9"/>
      <c r="E39" s="9"/>
      <c r="F39" s="9"/>
      <c r="G39" s="9"/>
      <c r="H39" s="9"/>
      <c r="I39" s="10"/>
      <c r="J39" s="10"/>
    </row>
    <row r="40" spans="1:10" x14ac:dyDescent="0.25">
      <c r="C40" s="9"/>
      <c r="D40" s="9"/>
      <c r="E40" s="9"/>
      <c r="F40" s="9"/>
      <c r="G40" s="9"/>
      <c r="H40" s="9"/>
      <c r="I40" s="10"/>
      <c r="J40" s="10"/>
    </row>
    <row r="41" spans="1:10" x14ac:dyDescent="0.25">
      <c r="C41" s="9"/>
      <c r="D41" s="9"/>
      <c r="E41" s="9"/>
      <c r="F41" s="9"/>
      <c r="G41" s="9"/>
      <c r="H41" s="9"/>
      <c r="I41" s="10"/>
      <c r="J41" s="10"/>
    </row>
    <row r="42" spans="1:10" x14ac:dyDescent="0.25">
      <c r="A42" s="26" t="s">
        <v>54</v>
      </c>
      <c r="B42" s="26"/>
      <c r="C42" s="12" t="s">
        <v>8</v>
      </c>
      <c r="D42" s="12" t="s">
        <v>9</v>
      </c>
      <c r="E42" s="12" t="s">
        <v>10</v>
      </c>
      <c r="F42" s="12" t="s">
        <v>11</v>
      </c>
      <c r="G42" s="12" t="s">
        <v>12</v>
      </c>
      <c r="H42" s="15" t="s">
        <v>13</v>
      </c>
      <c r="I42" s="18"/>
      <c r="J42" s="18"/>
    </row>
    <row r="43" spans="1:10" x14ac:dyDescent="0.25">
      <c r="A43" s="21" t="s">
        <v>55</v>
      </c>
      <c r="B43" s="21"/>
      <c r="C43" s="11">
        <v>317720</v>
      </c>
      <c r="D43" s="11">
        <v>149</v>
      </c>
      <c r="E43" s="11">
        <v>107505</v>
      </c>
      <c r="F43" s="11">
        <v>500</v>
      </c>
      <c r="G43" s="11">
        <f>SUM(C43:F43)</f>
        <v>425874</v>
      </c>
      <c r="H43" s="17">
        <f>ROUND(G43/1533,2)</f>
        <v>277.8</v>
      </c>
      <c r="I43" s="10"/>
      <c r="J43" s="10"/>
    </row>
    <row r="44" spans="1:10" x14ac:dyDescent="0.25">
      <c r="A44" s="21" t="s">
        <v>56</v>
      </c>
      <c r="B44" s="21"/>
      <c r="C44" s="11">
        <v>152490</v>
      </c>
      <c r="D44" s="11">
        <v>0</v>
      </c>
      <c r="E44" s="11">
        <v>31580</v>
      </c>
      <c r="F44" s="11">
        <v>16840</v>
      </c>
      <c r="G44" s="11">
        <f>SUM(C44:F44)</f>
        <v>200910</v>
      </c>
      <c r="H44" s="17">
        <f>ROUND(G44/1533,2)</f>
        <v>131.06</v>
      </c>
      <c r="I44" s="10"/>
      <c r="J44" s="10"/>
    </row>
    <row r="45" spans="1:10" x14ac:dyDescent="0.25">
      <c r="A45" s="21" t="s">
        <v>57</v>
      </c>
      <c r="B45" s="21"/>
      <c r="C45" s="11"/>
      <c r="D45" s="11"/>
      <c r="E45" s="11"/>
      <c r="F45" s="11"/>
      <c r="G45" s="11">
        <f>SUM(C45:F45)</f>
        <v>0</v>
      </c>
      <c r="H45" s="17">
        <f>ROUND(G45/1533,2)</f>
        <v>0</v>
      </c>
      <c r="I45" s="10"/>
      <c r="J45" s="10"/>
    </row>
    <row r="46" spans="1:10" x14ac:dyDescent="0.25">
      <c r="C46" s="9"/>
      <c r="D46" s="9"/>
      <c r="E46" s="9"/>
      <c r="F46" s="9"/>
      <c r="G46" s="9"/>
      <c r="H46" s="9"/>
      <c r="I46" s="10"/>
      <c r="J46" s="10"/>
    </row>
    <row r="47" spans="1:10" x14ac:dyDescent="0.25">
      <c r="C47" s="9"/>
      <c r="D47" s="9"/>
      <c r="E47" s="9"/>
      <c r="F47" s="9"/>
      <c r="G47" s="9"/>
      <c r="H47" s="9"/>
      <c r="I47" s="10"/>
      <c r="J47" s="10"/>
    </row>
    <row r="48" spans="1:10" x14ac:dyDescent="0.25">
      <c r="C48" s="9"/>
      <c r="D48" s="9"/>
      <c r="E48" s="9"/>
      <c r="F48" s="9"/>
      <c r="G48" s="9"/>
      <c r="H48" s="9"/>
      <c r="I48" s="10"/>
      <c r="J48" s="10"/>
    </row>
    <row r="49" spans="1:10" x14ac:dyDescent="0.25">
      <c r="C49" s="9"/>
      <c r="D49" s="9"/>
      <c r="E49" s="9"/>
      <c r="F49" s="9"/>
      <c r="G49" s="9"/>
      <c r="H49" s="9"/>
      <c r="I49" s="10"/>
      <c r="J49" s="10"/>
    </row>
    <row r="50" spans="1:10" x14ac:dyDescent="0.25">
      <c r="A50" s="26" t="s">
        <v>58</v>
      </c>
      <c r="B50" s="26"/>
      <c r="C50" s="15" t="s">
        <v>2</v>
      </c>
      <c r="D50" s="15">
        <v>2024</v>
      </c>
      <c r="E50" s="15" t="s">
        <v>60</v>
      </c>
      <c r="F50" s="14"/>
      <c r="G50" s="15" t="s">
        <v>61</v>
      </c>
      <c r="H50" s="15" t="s">
        <v>2</v>
      </c>
      <c r="I50" s="13" t="s">
        <v>62</v>
      </c>
      <c r="J50" s="13" t="s">
        <v>60</v>
      </c>
    </row>
    <row r="51" spans="1:10" x14ac:dyDescent="0.25">
      <c r="A51" s="21" t="s">
        <v>59</v>
      </c>
      <c r="B51" s="21"/>
      <c r="C51" s="16">
        <f>ROUND(0.7567, 4)</f>
        <v>0.75670000000000004</v>
      </c>
      <c r="D51" s="16">
        <f>ROUND(0.7609, 4)</f>
        <v>0.76090000000000002</v>
      </c>
      <c r="E51" s="16">
        <f>ROUND(0.7856, 4)</f>
        <v>0.78559999999999997</v>
      </c>
      <c r="F51" s="9"/>
      <c r="G51" s="15" t="s">
        <v>63</v>
      </c>
      <c r="H51" s="27" t="s">
        <v>64</v>
      </c>
      <c r="I51" s="24" t="s">
        <v>65</v>
      </c>
      <c r="J51" s="24" t="s">
        <v>66</v>
      </c>
    </row>
    <row r="52" spans="1:10" x14ac:dyDescent="0.25">
      <c r="A52" s="21" t="s">
        <v>67</v>
      </c>
      <c r="B52" s="21"/>
      <c r="C52" s="16">
        <f>ROUND(0.7567, 4)</f>
        <v>0.75670000000000004</v>
      </c>
      <c r="D52" s="16">
        <f>ROUND(0.751, 4)</f>
        <v>0.751</v>
      </c>
      <c r="E52" s="16">
        <f>ROUND(0.7702, 4)</f>
        <v>0.7702</v>
      </c>
      <c r="F52" s="9"/>
      <c r="G52" s="15" t="s">
        <v>68</v>
      </c>
      <c r="H52" s="28"/>
      <c r="I52" s="25"/>
      <c r="J52" s="25"/>
    </row>
    <row r="53" spans="1:10" x14ac:dyDescent="0.25">
      <c r="C53" s="9"/>
      <c r="D53" s="9"/>
      <c r="E53" s="9"/>
      <c r="F53" s="9"/>
      <c r="G53" s="9"/>
      <c r="H53" s="9"/>
      <c r="I53" s="10"/>
      <c r="J53" s="10"/>
    </row>
    <row r="54" spans="1:10" x14ac:dyDescent="0.25">
      <c r="C54" s="9"/>
      <c r="D54" s="9"/>
      <c r="E54" s="9"/>
      <c r="F54" s="9"/>
      <c r="G54" s="9"/>
      <c r="H54" s="9"/>
      <c r="I54" s="10"/>
      <c r="J54" s="10"/>
    </row>
    <row r="55" spans="1:10" x14ac:dyDescent="0.25">
      <c r="C55" s="9"/>
      <c r="D55" s="9"/>
      <c r="E55" s="9"/>
      <c r="F55" s="9"/>
      <c r="G55" s="9"/>
      <c r="H55" s="9"/>
      <c r="I55" s="10"/>
      <c r="J55" s="10"/>
    </row>
    <row r="56" spans="1:10" x14ac:dyDescent="0.25">
      <c r="A56" s="26" t="s">
        <v>69</v>
      </c>
      <c r="B56" s="26"/>
      <c r="C56" s="15" t="s">
        <v>2</v>
      </c>
      <c r="D56" s="15" t="s">
        <v>113</v>
      </c>
      <c r="E56" s="15" t="s">
        <v>71</v>
      </c>
      <c r="F56" s="15" t="s">
        <v>72</v>
      </c>
      <c r="G56" s="15" t="s">
        <v>73</v>
      </c>
      <c r="H56" s="14"/>
      <c r="I56" s="18"/>
      <c r="J56" s="18"/>
    </row>
    <row r="57" spans="1:10" x14ac:dyDescent="0.25">
      <c r="A57" s="21" t="s">
        <v>74</v>
      </c>
      <c r="B57" s="21"/>
      <c r="C57" s="17">
        <v>99.47</v>
      </c>
      <c r="D57" s="17">
        <v>97.98</v>
      </c>
      <c r="E57" s="17">
        <v>96.15</v>
      </c>
      <c r="F57" s="17">
        <v>57.94</v>
      </c>
      <c r="G57" s="17">
        <f>12/12*C57</f>
        <v>99.47</v>
      </c>
      <c r="H57" s="9"/>
      <c r="I57" s="10"/>
      <c r="J57" s="10"/>
    </row>
    <row r="58" spans="1:10" x14ac:dyDescent="0.25">
      <c r="A58" s="21" t="s">
        <v>75</v>
      </c>
      <c r="B58" s="21"/>
      <c r="C58" s="17">
        <v>88.85</v>
      </c>
      <c r="D58" s="17">
        <v>91.79</v>
      </c>
      <c r="E58" s="17">
        <v>62.28</v>
      </c>
      <c r="F58" s="17">
        <v>66.599999999999994</v>
      </c>
      <c r="G58" s="17">
        <f>12/12*C58</f>
        <v>88.85</v>
      </c>
      <c r="H58" s="9"/>
      <c r="I58" s="10"/>
      <c r="J58" s="10"/>
    </row>
    <row r="59" spans="1:10" x14ac:dyDescent="0.25">
      <c r="A59" s="21" t="s">
        <v>76</v>
      </c>
      <c r="B59" s="21"/>
      <c r="C59" s="17">
        <v>277.8</v>
      </c>
      <c r="D59" s="17">
        <v>281.87</v>
      </c>
      <c r="E59" s="17">
        <v>300.02</v>
      </c>
      <c r="F59" s="17">
        <v>295.08</v>
      </c>
      <c r="G59" s="17">
        <f>12/12*C59</f>
        <v>277.8</v>
      </c>
      <c r="H59" s="9"/>
      <c r="I59" s="10"/>
      <c r="J59" s="10"/>
    </row>
    <row r="60" spans="1:10" x14ac:dyDescent="0.25">
      <c r="A60" s="21" t="s">
        <v>77</v>
      </c>
      <c r="B60" s="21"/>
      <c r="C60" s="17">
        <v>131.06</v>
      </c>
      <c r="D60" s="17">
        <v>127.37</v>
      </c>
      <c r="E60" s="17">
        <v>120.96</v>
      </c>
      <c r="F60" s="17">
        <v>83.12</v>
      </c>
      <c r="G60" s="17">
        <f>12/12*C60</f>
        <v>131.06</v>
      </c>
      <c r="H60" s="9"/>
      <c r="I60" s="10"/>
      <c r="J60" s="10"/>
    </row>
    <row r="61" spans="1:10" x14ac:dyDescent="0.25">
      <c r="C61" s="9"/>
      <c r="D61" s="9"/>
      <c r="E61" s="9"/>
      <c r="F61" s="9"/>
      <c r="G61" s="9"/>
      <c r="H61" s="9"/>
      <c r="I61" s="10"/>
      <c r="J61" s="10"/>
    </row>
    <row r="62" spans="1:10" x14ac:dyDescent="0.25">
      <c r="C62" s="9"/>
      <c r="D62" s="9"/>
      <c r="E62" s="9"/>
      <c r="F62" s="9"/>
      <c r="G62" s="9"/>
      <c r="H62" s="9"/>
      <c r="I62" s="10"/>
      <c r="J62" s="10"/>
    </row>
    <row r="63" spans="1:10" x14ac:dyDescent="0.25">
      <c r="A63" s="22" t="s">
        <v>61</v>
      </c>
      <c r="B63" s="23"/>
      <c r="C63" s="9"/>
      <c r="D63" s="9"/>
      <c r="E63" s="9"/>
      <c r="F63" s="9"/>
      <c r="G63" s="9"/>
      <c r="H63" s="9"/>
      <c r="I63" s="10"/>
      <c r="J63" s="10"/>
    </row>
    <row r="64" spans="1:10" x14ac:dyDescent="0.25">
      <c r="A64" s="3" t="s">
        <v>78</v>
      </c>
      <c r="B64" s="1" t="s">
        <v>114</v>
      </c>
      <c r="C64" s="9"/>
      <c r="D64" s="9"/>
      <c r="E64" s="9"/>
      <c r="F64" s="9"/>
      <c r="G64" s="9"/>
      <c r="H64" s="9"/>
      <c r="I64" s="10"/>
      <c r="J64" s="10"/>
    </row>
    <row r="65" spans="1:10" x14ac:dyDescent="0.25">
      <c r="A65" s="3" t="s">
        <v>71</v>
      </c>
      <c r="B65" s="1" t="s">
        <v>80</v>
      </c>
      <c r="C65" s="9"/>
      <c r="D65" s="9"/>
      <c r="E65" s="9"/>
      <c r="F65" s="9"/>
      <c r="G65" s="9"/>
      <c r="H65" s="9"/>
      <c r="I65" s="10"/>
      <c r="J65" s="10"/>
    </row>
    <row r="66" spans="1:10" x14ac:dyDescent="0.25">
      <c r="A66" s="3" t="s">
        <v>72</v>
      </c>
      <c r="B66" s="1" t="s">
        <v>81</v>
      </c>
      <c r="C66" s="9"/>
      <c r="D66" s="9"/>
      <c r="E66" s="9"/>
      <c r="F66" s="9"/>
      <c r="G66" s="9"/>
      <c r="H66" s="9"/>
      <c r="I66" s="10"/>
      <c r="J66" s="10"/>
    </row>
    <row r="67" spans="1:10" x14ac:dyDescent="0.25">
      <c r="A67" s="3" t="s">
        <v>73</v>
      </c>
      <c r="B67" s="1" t="s">
        <v>82</v>
      </c>
      <c r="C67" s="9"/>
      <c r="D67" s="9"/>
      <c r="E67" s="9"/>
      <c r="F67" s="9"/>
      <c r="G67" s="9"/>
      <c r="H67" s="9"/>
      <c r="I67" s="10"/>
      <c r="J67" s="10"/>
    </row>
    <row r="68" spans="1:10" x14ac:dyDescent="0.25">
      <c r="C68" s="9"/>
      <c r="D68" s="9"/>
      <c r="E68" s="9"/>
      <c r="F68" s="9"/>
      <c r="G68" s="9"/>
      <c r="H68" s="9"/>
      <c r="I68" s="10"/>
      <c r="J68" s="10"/>
    </row>
    <row r="69" spans="1:10" x14ac:dyDescent="0.25">
      <c r="C69" s="9"/>
      <c r="D69" s="9"/>
      <c r="E69" s="9"/>
      <c r="F69" s="9"/>
      <c r="G69" s="9"/>
      <c r="H69" s="9"/>
      <c r="I69" s="10"/>
      <c r="J69" s="10"/>
    </row>
    <row r="70" spans="1:10" x14ac:dyDescent="0.25">
      <c r="C70" s="9"/>
      <c r="D70" s="9"/>
      <c r="E70" s="9"/>
      <c r="F70" s="9"/>
      <c r="G70" s="9"/>
      <c r="H70" s="9"/>
      <c r="I70" s="10"/>
      <c r="J70" s="10"/>
    </row>
    <row r="71" spans="1:10" x14ac:dyDescent="0.25">
      <c r="C71" s="9"/>
      <c r="D71" s="9"/>
      <c r="E71" s="9"/>
      <c r="F71" s="9"/>
      <c r="G71" s="9"/>
      <c r="H71" s="9"/>
      <c r="I71" s="10"/>
      <c r="J71" s="10"/>
    </row>
    <row r="72" spans="1:10" x14ac:dyDescent="0.25">
      <c r="C72" s="9"/>
      <c r="D72" s="9"/>
      <c r="E72" s="9"/>
      <c r="F72" s="9"/>
      <c r="G72" s="9"/>
      <c r="H72" s="9"/>
      <c r="I72" s="10"/>
      <c r="J72" s="10"/>
    </row>
    <row r="73" spans="1:10" x14ac:dyDescent="0.25">
      <c r="C73" s="9"/>
      <c r="D73" s="9"/>
      <c r="E73" s="9"/>
      <c r="F73" s="9"/>
      <c r="G73" s="9"/>
      <c r="H73" s="9"/>
      <c r="I73" s="10"/>
      <c r="J73" s="10"/>
    </row>
    <row r="74" spans="1:10" x14ac:dyDescent="0.25">
      <c r="C74" s="9"/>
      <c r="D74" s="9"/>
      <c r="E74" s="9"/>
      <c r="F74" s="9"/>
      <c r="G74" s="9"/>
      <c r="H74" s="9"/>
      <c r="I74" s="10"/>
      <c r="J74" s="10"/>
    </row>
    <row r="75" spans="1:10" x14ac:dyDescent="0.25">
      <c r="C75" s="9"/>
      <c r="D75" s="9"/>
      <c r="E75" s="9"/>
      <c r="F75" s="9"/>
      <c r="G75" s="9"/>
      <c r="H75" s="9"/>
      <c r="I75" s="10"/>
      <c r="J75" s="10"/>
    </row>
    <row r="76" spans="1:10" x14ac:dyDescent="0.25">
      <c r="C76" s="9"/>
      <c r="D76" s="9"/>
      <c r="E76" s="9"/>
      <c r="F76" s="9"/>
      <c r="G76" s="9"/>
      <c r="H76" s="9"/>
      <c r="I76" s="10"/>
      <c r="J76" s="10"/>
    </row>
    <row r="77" spans="1:10" x14ac:dyDescent="0.25">
      <c r="C77" s="9"/>
      <c r="D77" s="9"/>
      <c r="E77" s="9"/>
      <c r="F77" s="9"/>
      <c r="G77" s="9"/>
      <c r="H77" s="9"/>
      <c r="I77" s="10"/>
      <c r="J77" s="10"/>
    </row>
    <row r="78" spans="1:10" x14ac:dyDescent="0.25">
      <c r="C78" s="9"/>
      <c r="D78" s="9"/>
      <c r="E78" s="9"/>
      <c r="F78" s="9"/>
      <c r="G78" s="9"/>
      <c r="H78" s="9"/>
      <c r="I78" s="10"/>
      <c r="J78" s="10"/>
    </row>
  </sheetData>
  <mergeCells count="19">
    <mergeCell ref="C7:G7"/>
    <mergeCell ref="A36:B36"/>
    <mergeCell ref="A37:B37"/>
    <mergeCell ref="A42:B42"/>
    <mergeCell ref="A43:B43"/>
    <mergeCell ref="J51:J52"/>
    <mergeCell ref="A52:B52"/>
    <mergeCell ref="A56:B56"/>
    <mergeCell ref="A57:B57"/>
    <mergeCell ref="A44:B44"/>
    <mergeCell ref="A45:B45"/>
    <mergeCell ref="A50:B50"/>
    <mergeCell ref="A51:B51"/>
    <mergeCell ref="H51:H52"/>
    <mergeCell ref="A58:B58"/>
    <mergeCell ref="A59:B59"/>
    <mergeCell ref="A60:B60"/>
    <mergeCell ref="A63:B63"/>
    <mergeCell ref="I51:I5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80</vt:i4>
      </vt:variant>
    </vt:vector>
  </HeadingPairs>
  <TitlesOfParts>
    <vt:vector size="80" baseType="lpstr">
      <vt:lpstr>AMARO</vt:lpstr>
      <vt:lpstr>AMPEZZO</vt:lpstr>
      <vt:lpstr>ARTA TERME</vt:lpstr>
      <vt:lpstr>ARTEGNA</vt:lpstr>
      <vt:lpstr>BASILIANO</vt:lpstr>
      <vt:lpstr>BERTIOLO</vt:lpstr>
      <vt:lpstr>BORDANO</vt:lpstr>
      <vt:lpstr>BUTTRIO</vt:lpstr>
      <vt:lpstr>CAMINO AL TAGLIAMENTO</vt:lpstr>
      <vt:lpstr>CAMPOFORMIDO</vt:lpstr>
      <vt:lpstr>CAVAZZO CARNICO</vt:lpstr>
      <vt:lpstr>CERCIVENTO</vt:lpstr>
      <vt:lpstr>CODROIPO</vt:lpstr>
      <vt:lpstr>COLLOREDO DI MONTE ALBANO</vt:lpstr>
      <vt:lpstr>COMEGLIANS</vt:lpstr>
      <vt:lpstr>CORNO DI ROSAZZO</vt:lpstr>
      <vt:lpstr>COSEANO</vt:lpstr>
      <vt:lpstr>DIGNANO</vt:lpstr>
      <vt:lpstr>DOGNA</vt:lpstr>
      <vt:lpstr>ENEMONZO</vt:lpstr>
      <vt:lpstr>FAGAGNA</vt:lpstr>
      <vt:lpstr>FLAIBANO</vt:lpstr>
      <vt:lpstr>FORGARIA NEL FRIULI</vt:lpstr>
      <vt:lpstr>FORNI AVOLTRI</vt:lpstr>
      <vt:lpstr>FORNI DI SOPRA</vt:lpstr>
      <vt:lpstr>FORNI DI SOTTO</vt:lpstr>
      <vt:lpstr>GEMONA DEL FRIULI</vt:lpstr>
      <vt:lpstr>LAUCO</vt:lpstr>
      <vt:lpstr>LESTIZZA</vt:lpstr>
      <vt:lpstr>LUSEVERA</vt:lpstr>
      <vt:lpstr>MAGNANO IN RIVIERA</vt:lpstr>
      <vt:lpstr>MAJANO</vt:lpstr>
      <vt:lpstr>MARTIGNACCO</vt:lpstr>
      <vt:lpstr>MOGGIO UDINESE</vt:lpstr>
      <vt:lpstr>MOIMACCO</vt:lpstr>
      <vt:lpstr>MONTENARS</vt:lpstr>
      <vt:lpstr>MORTEGLIANO</vt:lpstr>
      <vt:lpstr>MORUZZO</vt:lpstr>
      <vt:lpstr>NIMIS</vt:lpstr>
      <vt:lpstr>OSOPPO</vt:lpstr>
      <vt:lpstr>OVARO</vt:lpstr>
      <vt:lpstr>PAGNACCO</vt:lpstr>
      <vt:lpstr>PALUZZA</vt:lpstr>
      <vt:lpstr>PASIAN DI PRATO</vt:lpstr>
      <vt:lpstr>PAULARO</vt:lpstr>
      <vt:lpstr>PAVIA DI UDINE</vt:lpstr>
      <vt:lpstr>POZZUOLO DEL FRIULI</vt:lpstr>
      <vt:lpstr>PRADAMANO</vt:lpstr>
      <vt:lpstr>PRATO CARNICO</vt:lpstr>
      <vt:lpstr>PREMARIACCO</vt:lpstr>
      <vt:lpstr>PREONE</vt:lpstr>
      <vt:lpstr>RAGOGNA</vt:lpstr>
      <vt:lpstr>RAVASCLETTO</vt:lpstr>
      <vt:lpstr>RAVEO</vt:lpstr>
      <vt:lpstr>REANA DEL ROJALE</vt:lpstr>
      <vt:lpstr>REMANZACCO</vt:lpstr>
      <vt:lpstr>RESIUTTA</vt:lpstr>
      <vt:lpstr>RIGOLATO</vt:lpstr>
      <vt:lpstr>RIVE D'ARCANO</vt:lpstr>
      <vt:lpstr>RIVIGNANO TEOR</vt:lpstr>
      <vt:lpstr>SAN DANIELE DEL FRIULI</vt:lpstr>
      <vt:lpstr>SAN DORLIGO DELLA VALLE - DOLI</vt:lpstr>
      <vt:lpstr>SAN GIOVANNI AL NATISONE</vt:lpstr>
      <vt:lpstr>SAN VITO DI FAGAGNA</vt:lpstr>
      <vt:lpstr>SAPPADA</vt:lpstr>
      <vt:lpstr>SAURIS</vt:lpstr>
      <vt:lpstr>SEDEGLIANO</vt:lpstr>
      <vt:lpstr>SOCCHIEVE</vt:lpstr>
      <vt:lpstr>SUTRIO</vt:lpstr>
      <vt:lpstr>TAIPANA</vt:lpstr>
      <vt:lpstr>TARCENTO</vt:lpstr>
      <vt:lpstr>TOLMEZZO</vt:lpstr>
      <vt:lpstr>TRASAGHIS</vt:lpstr>
      <vt:lpstr>TREPPO GRANDE</vt:lpstr>
      <vt:lpstr>TREPPO LIGOSULLO</vt:lpstr>
      <vt:lpstr>VARMO</vt:lpstr>
      <vt:lpstr>VENZONE</vt:lpstr>
      <vt:lpstr>VERZEGNIS</vt:lpstr>
      <vt:lpstr>VILLA SANTINA</vt:lpstr>
      <vt:lpstr>ZUGLIO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Luciano Gremese</cp:lastModifiedBy>
  <dcterms:created xsi:type="dcterms:W3CDTF">2026-01-29T08:39:57Z</dcterms:created>
  <dcterms:modified xsi:type="dcterms:W3CDTF">2026-01-29T09:37:25Z</dcterms:modified>
  <cp:category/>
</cp:coreProperties>
</file>